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hidePivotFieldList="1" autoCompressPictures="0" defaultThemeVersion="124226"/>
  <mc:AlternateContent xmlns:mc="http://schemas.openxmlformats.org/markup-compatibility/2006">
    <mc:Choice Requires="x15">
      <x15ac:absPath xmlns:x15ac="http://schemas.microsoft.com/office/spreadsheetml/2010/11/ac" url="I:\DataExchange\DE2017-18\Summary Data\"/>
    </mc:Choice>
  </mc:AlternateContent>
  <xr:revisionPtr revIDLastSave="0" documentId="13_ncr:1_{825FE45D-95A9-41A6-9A16-7CA70632B8AC}" xr6:coauthVersionLast="40" xr6:coauthVersionMax="40" xr10:uidLastSave="{00000000-0000-0000-0000-000000000000}"/>
  <bookViews>
    <workbookView xWindow="-120" yWindow="-120" windowWidth="29040" windowHeight="15840" activeTab="3" xr2:uid="{00000000-000D-0000-FFFF-FFFF00000000}"/>
  </bookViews>
  <sheets>
    <sheet name="NEW...Tables 87-90" sheetId="20" r:id="rId1"/>
    <sheet name="OLD...Tables" sheetId="19" r:id="rId2"/>
    <sheet name="NEW...Tables 91-112" sheetId="18" r:id="rId3"/>
    <sheet name="OLD...Tabs" sheetId="17" r:id="rId4"/>
    <sheet name="Pivot Table for Data Exchange" sheetId="15" r:id="rId5"/>
    <sheet name="05InstructionTypes" sheetId="1" r:id="rId6"/>
    <sheet name="Format for DE pivot" sheetId="12" r:id="rId7"/>
    <sheet name="Summary Table for Fact Book" sheetId="16" r:id="rId8"/>
    <sheet name="Pivot Table for Fact Book" sheetId="14" r:id="rId9"/>
    <sheet name="Format for FB Pivot Tab" sheetId="13" r:id="rId10"/>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3gr1_1" localSheetId="5">'05InstructionTypes'!$W$47:$W$132</definedName>
    <definedName name="Type13gr2_1" localSheetId="5">'05InstructionTypes'!$Y$47:$Y$132</definedName>
    <definedName name="Type13gr3_1" localSheetId="5">'05InstructionTypes'!$AC$47:$AC$132</definedName>
    <definedName name="Type13gr4_1" localSheetId="5">'05InstructionTypes'!$AD$47:$AD$132</definedName>
    <definedName name="Type13gr5_2" localSheetId="5">'05InstructionTypes'!$AE$47:$AE$132</definedName>
    <definedName name="Type13ug1_1" localSheetId="5">'05InstructionTypes'!$I$47:$I$132</definedName>
    <definedName name="Type13ug2_1" localSheetId="5">'05InstructionTypes'!$K$47:$K$132</definedName>
    <definedName name="Type13ug3_1" localSheetId="5">'05InstructionTypes'!$O$47:$O$132</definedName>
    <definedName name="Type13ug4_1" localSheetId="5">'05InstructionTypes'!$P$47:$P$132</definedName>
    <definedName name="Type13ug5_1" localSheetId="5">'05InstructionTypes'!$Q$47:$Q$132</definedName>
  </definedNames>
  <calcPr calcId="191029"/>
  <pivotCaches>
    <pivotCache cacheId="127" r:id="rId11"/>
  </pivotCaches>
  <extLst>
    <ext xmlns:xcalcf="http://schemas.microsoft.com/office/spreadsheetml/2018/calcfeatures" uri="{B58B0392-4F1F-4190-BB64-5DF3571DCE5F}">
      <xcalcf:calcFeatures>
        <xcalcf:feature name="microsoft.com:RD"/>
        <xcalcf:feature name="microsoft.com:FV"/>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S53" i="20" l="1"/>
  <c r="R53" i="20"/>
  <c r="Q53" i="20"/>
  <c r="S52" i="20"/>
  <c r="R52" i="20"/>
  <c r="Q52" i="20"/>
  <c r="S51" i="20"/>
  <c r="R51" i="20"/>
  <c r="Q51" i="20"/>
  <c r="S50" i="20"/>
  <c r="R50" i="20"/>
  <c r="Q50" i="20"/>
  <c r="S48" i="20"/>
  <c r="R48" i="20"/>
  <c r="Q48" i="20"/>
  <c r="S47" i="20"/>
  <c r="R47" i="20"/>
  <c r="Q47" i="20"/>
  <c r="S46" i="20"/>
  <c r="R46" i="20"/>
  <c r="Q46" i="20"/>
  <c r="S45" i="20"/>
  <c r="R45" i="20"/>
  <c r="Q45" i="20"/>
  <c r="S43" i="20"/>
  <c r="R43" i="20"/>
  <c r="Q43" i="20"/>
  <c r="S42" i="20"/>
  <c r="R42" i="20"/>
  <c r="Q42" i="20"/>
  <c r="S41" i="20"/>
  <c r="R41" i="20"/>
  <c r="Q41" i="20"/>
  <c r="S40" i="20"/>
  <c r="R40" i="20"/>
  <c r="Q40" i="20"/>
  <c r="S38" i="20"/>
  <c r="R38" i="20"/>
  <c r="Q38" i="20"/>
  <c r="S37" i="20"/>
  <c r="R37" i="20"/>
  <c r="Q37" i="20"/>
  <c r="S36" i="20"/>
  <c r="R36" i="20"/>
  <c r="Q36" i="20"/>
  <c r="S35" i="20"/>
  <c r="R35" i="20"/>
  <c r="Q35" i="20"/>
  <c r="H112" i="20"/>
  <c r="G112" i="20"/>
  <c r="F112" i="20"/>
  <c r="E112" i="20"/>
  <c r="D112" i="20"/>
  <c r="C112" i="20"/>
  <c r="B112" i="20"/>
  <c r="H111" i="20"/>
  <c r="G111" i="20"/>
  <c r="F111" i="20"/>
  <c r="E111" i="20"/>
  <c r="D111" i="20"/>
  <c r="C111" i="20"/>
  <c r="B111" i="20"/>
  <c r="H110" i="20"/>
  <c r="G110" i="20"/>
  <c r="F110" i="20"/>
  <c r="E110" i="20"/>
  <c r="D110" i="20"/>
  <c r="C110" i="20"/>
  <c r="B110" i="20"/>
  <c r="H109" i="20"/>
  <c r="G109" i="20"/>
  <c r="F109" i="20"/>
  <c r="E109" i="20"/>
  <c r="D109" i="20"/>
  <c r="C109" i="20"/>
  <c r="B109" i="20"/>
  <c r="H107" i="20"/>
  <c r="G107" i="20"/>
  <c r="F107" i="20"/>
  <c r="E107" i="20"/>
  <c r="D107" i="20"/>
  <c r="C107" i="20"/>
  <c r="B107" i="20"/>
  <c r="H106" i="20"/>
  <c r="G106" i="20"/>
  <c r="F106" i="20"/>
  <c r="E106" i="20"/>
  <c r="D106" i="20"/>
  <c r="C106" i="20"/>
  <c r="B106" i="20"/>
  <c r="H105" i="20"/>
  <c r="G105" i="20"/>
  <c r="F105" i="20"/>
  <c r="E105" i="20"/>
  <c r="D105" i="20"/>
  <c r="C105" i="20"/>
  <c r="B105" i="20"/>
  <c r="H104" i="20"/>
  <c r="G104" i="20"/>
  <c r="F104" i="20"/>
  <c r="E104" i="20"/>
  <c r="D104" i="20"/>
  <c r="C104" i="20"/>
  <c r="H102" i="20"/>
  <c r="G102" i="20"/>
  <c r="F102" i="20"/>
  <c r="E102" i="20"/>
  <c r="D102" i="20"/>
  <c r="C102" i="20"/>
  <c r="B102" i="20"/>
  <c r="H101" i="20"/>
  <c r="G101" i="20"/>
  <c r="F101" i="20"/>
  <c r="E101" i="20"/>
  <c r="D101" i="20"/>
  <c r="C101" i="20"/>
  <c r="B101" i="20"/>
  <c r="H100" i="20"/>
  <c r="G100" i="20"/>
  <c r="F100" i="20"/>
  <c r="E100" i="20"/>
  <c r="D100" i="20"/>
  <c r="C100" i="20"/>
  <c r="B100" i="20"/>
  <c r="H99" i="20"/>
  <c r="G99" i="20"/>
  <c r="F99" i="20"/>
  <c r="E99" i="20"/>
  <c r="D99" i="20"/>
  <c r="C99" i="20"/>
  <c r="B99" i="20"/>
  <c r="H97" i="20"/>
  <c r="G97" i="20"/>
  <c r="F97" i="20"/>
  <c r="E97" i="20"/>
  <c r="D97" i="20"/>
  <c r="C97" i="20"/>
  <c r="B97" i="20"/>
  <c r="H96" i="20"/>
  <c r="G96" i="20"/>
  <c r="F96" i="20"/>
  <c r="E96" i="20"/>
  <c r="D96" i="20"/>
  <c r="C96" i="20"/>
  <c r="B96" i="20"/>
  <c r="H95" i="20"/>
  <c r="G95" i="20"/>
  <c r="F95" i="20"/>
  <c r="E95" i="20"/>
  <c r="D95" i="20"/>
  <c r="C95" i="20"/>
  <c r="B95" i="20"/>
  <c r="H94" i="20"/>
  <c r="G94" i="20"/>
  <c r="F94" i="20"/>
  <c r="E94" i="20"/>
  <c r="D94" i="20"/>
  <c r="C94" i="20"/>
  <c r="B94" i="20"/>
  <c r="H84" i="20"/>
  <c r="G84" i="20"/>
  <c r="F84" i="20"/>
  <c r="E84" i="20"/>
  <c r="D84" i="20"/>
  <c r="C84" i="20"/>
  <c r="B84" i="20"/>
  <c r="H83" i="20"/>
  <c r="G83" i="20"/>
  <c r="F83" i="20"/>
  <c r="E83" i="20"/>
  <c r="D83" i="20"/>
  <c r="C83" i="20"/>
  <c r="B83" i="20"/>
  <c r="H82" i="20"/>
  <c r="G82" i="20"/>
  <c r="F82" i="20"/>
  <c r="E82" i="20"/>
  <c r="D82" i="20"/>
  <c r="C82" i="20"/>
  <c r="B82" i="20"/>
  <c r="H81" i="20"/>
  <c r="G81" i="20"/>
  <c r="F81" i="20"/>
  <c r="E81" i="20"/>
  <c r="D81" i="20"/>
  <c r="C81" i="20"/>
  <c r="B81" i="20"/>
  <c r="H79" i="20"/>
  <c r="G79" i="20"/>
  <c r="F79" i="20"/>
  <c r="E79" i="20"/>
  <c r="D79" i="20"/>
  <c r="C79" i="20"/>
  <c r="B79" i="20"/>
  <c r="H78" i="20"/>
  <c r="G78" i="20"/>
  <c r="F78" i="20"/>
  <c r="E78" i="20"/>
  <c r="D78" i="20"/>
  <c r="C78" i="20"/>
  <c r="B78" i="20"/>
  <c r="H77" i="20"/>
  <c r="G77" i="20"/>
  <c r="F77" i="20"/>
  <c r="E77" i="20"/>
  <c r="D77" i="20"/>
  <c r="C77" i="20"/>
  <c r="B77" i="20"/>
  <c r="H76" i="20"/>
  <c r="G76" i="20"/>
  <c r="F76" i="20"/>
  <c r="E76" i="20"/>
  <c r="D76" i="20"/>
  <c r="C76" i="20"/>
  <c r="B76" i="20"/>
  <c r="H74" i="20"/>
  <c r="G74" i="20"/>
  <c r="F74" i="20"/>
  <c r="E74" i="20"/>
  <c r="D74" i="20"/>
  <c r="C74" i="20"/>
  <c r="B74" i="20"/>
  <c r="H73" i="20"/>
  <c r="G73" i="20"/>
  <c r="F73" i="20"/>
  <c r="E73" i="20"/>
  <c r="D73" i="20"/>
  <c r="C73" i="20"/>
  <c r="B73" i="20"/>
  <c r="H72" i="20"/>
  <c r="G72" i="20"/>
  <c r="F72" i="20"/>
  <c r="E72" i="20"/>
  <c r="D72" i="20"/>
  <c r="C72" i="20"/>
  <c r="B72" i="20"/>
  <c r="H71" i="20"/>
  <c r="G71" i="20"/>
  <c r="F71" i="20"/>
  <c r="E71" i="20"/>
  <c r="D71" i="20"/>
  <c r="C71" i="20"/>
  <c r="B71" i="20"/>
  <c r="H69" i="20"/>
  <c r="G69" i="20"/>
  <c r="F69" i="20"/>
  <c r="E69" i="20"/>
  <c r="D69" i="20"/>
  <c r="C69" i="20"/>
  <c r="B69" i="20"/>
  <c r="H68" i="20"/>
  <c r="G68" i="20"/>
  <c r="F68" i="20"/>
  <c r="E68" i="20"/>
  <c r="D68" i="20"/>
  <c r="C68" i="20"/>
  <c r="B68" i="20"/>
  <c r="H67" i="20"/>
  <c r="G67" i="20"/>
  <c r="F67" i="20"/>
  <c r="E67" i="20"/>
  <c r="D67" i="20"/>
  <c r="C67" i="20"/>
  <c r="B67" i="20"/>
  <c r="H66" i="20"/>
  <c r="G66" i="20"/>
  <c r="F66" i="20"/>
  <c r="E66" i="20"/>
  <c r="D66" i="20"/>
  <c r="C66" i="20"/>
  <c r="B66" i="20"/>
  <c r="P53" i="20"/>
  <c r="O53" i="20"/>
  <c r="N53" i="20"/>
  <c r="M53" i="20"/>
  <c r="L53" i="20"/>
  <c r="K53" i="20"/>
  <c r="J53" i="20"/>
  <c r="I53" i="20"/>
  <c r="H53" i="20"/>
  <c r="G53" i="20"/>
  <c r="F53" i="20"/>
  <c r="E53" i="20"/>
  <c r="D53" i="20"/>
  <c r="C53" i="20"/>
  <c r="B53" i="20"/>
  <c r="P52" i="20"/>
  <c r="O52" i="20"/>
  <c r="N52" i="20"/>
  <c r="M52" i="20"/>
  <c r="L52" i="20"/>
  <c r="K52" i="20"/>
  <c r="J52" i="20"/>
  <c r="I52" i="20"/>
  <c r="H52" i="20"/>
  <c r="G52" i="20"/>
  <c r="F52" i="20"/>
  <c r="E52" i="20"/>
  <c r="D52" i="20"/>
  <c r="C52" i="20"/>
  <c r="B52" i="20"/>
  <c r="P51" i="20"/>
  <c r="O51" i="20"/>
  <c r="N51" i="20"/>
  <c r="M51" i="20"/>
  <c r="L51" i="20"/>
  <c r="K51" i="20"/>
  <c r="J51" i="20"/>
  <c r="I51" i="20"/>
  <c r="H51" i="20"/>
  <c r="G51" i="20"/>
  <c r="F51" i="20"/>
  <c r="E51" i="20"/>
  <c r="D51" i="20"/>
  <c r="C51" i="20"/>
  <c r="B51" i="20"/>
  <c r="P50" i="20"/>
  <c r="O50" i="20"/>
  <c r="N50" i="20"/>
  <c r="M50" i="20"/>
  <c r="L50" i="20"/>
  <c r="K50" i="20"/>
  <c r="J50" i="20"/>
  <c r="I50" i="20"/>
  <c r="H50" i="20"/>
  <c r="G50" i="20"/>
  <c r="F50" i="20"/>
  <c r="E50" i="20"/>
  <c r="D50" i="20"/>
  <c r="C50" i="20"/>
  <c r="B50" i="20"/>
  <c r="P48" i="20"/>
  <c r="O48" i="20"/>
  <c r="N48" i="20"/>
  <c r="M48" i="20"/>
  <c r="L48" i="20"/>
  <c r="K48" i="20"/>
  <c r="J48" i="20"/>
  <c r="I48" i="20"/>
  <c r="H48" i="20"/>
  <c r="G48" i="20"/>
  <c r="F48" i="20"/>
  <c r="E48" i="20"/>
  <c r="D48" i="20"/>
  <c r="C48" i="20"/>
  <c r="B48" i="20"/>
  <c r="P47" i="20"/>
  <c r="O47" i="20"/>
  <c r="N47" i="20"/>
  <c r="M47" i="20"/>
  <c r="L47" i="20"/>
  <c r="K47" i="20"/>
  <c r="J47" i="20"/>
  <c r="I47" i="20"/>
  <c r="H47" i="20"/>
  <c r="G47" i="20"/>
  <c r="F47" i="20"/>
  <c r="E47" i="20"/>
  <c r="D47" i="20"/>
  <c r="C47" i="20"/>
  <c r="B47" i="20"/>
  <c r="P46" i="20"/>
  <c r="O46" i="20"/>
  <c r="N46" i="20"/>
  <c r="M46" i="20"/>
  <c r="L46" i="20"/>
  <c r="K46" i="20"/>
  <c r="J46" i="20"/>
  <c r="I46" i="20"/>
  <c r="H46" i="20"/>
  <c r="G46" i="20"/>
  <c r="F46" i="20"/>
  <c r="E46" i="20"/>
  <c r="D46" i="20"/>
  <c r="C46" i="20"/>
  <c r="B46" i="20"/>
  <c r="P45" i="20"/>
  <c r="O45" i="20"/>
  <c r="N45" i="20"/>
  <c r="M45" i="20"/>
  <c r="L45" i="20"/>
  <c r="K45" i="20"/>
  <c r="J45" i="20"/>
  <c r="I45" i="20"/>
  <c r="H45" i="20"/>
  <c r="G45" i="20"/>
  <c r="F45" i="20"/>
  <c r="E45" i="20"/>
  <c r="D45" i="20"/>
  <c r="C45" i="20"/>
  <c r="B45" i="20"/>
  <c r="P43" i="20"/>
  <c r="O43" i="20"/>
  <c r="N43" i="20"/>
  <c r="M43" i="20"/>
  <c r="L43" i="20"/>
  <c r="K43" i="20"/>
  <c r="J43" i="20"/>
  <c r="I43" i="20"/>
  <c r="H43" i="20"/>
  <c r="G43" i="20"/>
  <c r="F43" i="20"/>
  <c r="E43" i="20"/>
  <c r="D43" i="20"/>
  <c r="C43" i="20"/>
  <c r="B43" i="20"/>
  <c r="P42" i="20"/>
  <c r="O42" i="20"/>
  <c r="N42" i="20"/>
  <c r="M42" i="20"/>
  <c r="L42" i="20"/>
  <c r="K42" i="20"/>
  <c r="J42" i="20"/>
  <c r="I42" i="20"/>
  <c r="H42" i="20"/>
  <c r="G42" i="20"/>
  <c r="F42" i="20"/>
  <c r="E42" i="20"/>
  <c r="D42" i="20"/>
  <c r="C42" i="20"/>
  <c r="B42" i="20"/>
  <c r="P41" i="20"/>
  <c r="O41" i="20"/>
  <c r="N41" i="20"/>
  <c r="M41" i="20"/>
  <c r="L41" i="20"/>
  <c r="K41" i="20"/>
  <c r="J41" i="20"/>
  <c r="I41" i="20"/>
  <c r="H41" i="20"/>
  <c r="G41" i="20"/>
  <c r="F41" i="20"/>
  <c r="E41" i="20"/>
  <c r="D41" i="20"/>
  <c r="C41" i="20"/>
  <c r="B41" i="20"/>
  <c r="P40" i="20"/>
  <c r="O40" i="20"/>
  <c r="N40" i="20"/>
  <c r="M40" i="20"/>
  <c r="L40" i="20"/>
  <c r="K40" i="20"/>
  <c r="J40" i="20"/>
  <c r="I40" i="20"/>
  <c r="H40" i="20"/>
  <c r="G40" i="20"/>
  <c r="F40" i="20"/>
  <c r="E40" i="20"/>
  <c r="D40" i="20"/>
  <c r="C40" i="20"/>
  <c r="B40" i="20"/>
  <c r="P38" i="20"/>
  <c r="O38" i="20"/>
  <c r="N38" i="20"/>
  <c r="M38" i="20"/>
  <c r="L38" i="20"/>
  <c r="K38" i="20"/>
  <c r="J38" i="20"/>
  <c r="I38" i="20"/>
  <c r="H38" i="20"/>
  <c r="G38" i="20"/>
  <c r="F38" i="20"/>
  <c r="E38" i="20"/>
  <c r="D38" i="20"/>
  <c r="C38" i="20"/>
  <c r="B38" i="20"/>
  <c r="P37" i="20"/>
  <c r="O37" i="20"/>
  <c r="N37" i="20"/>
  <c r="M37" i="20"/>
  <c r="L37" i="20"/>
  <c r="K37" i="20"/>
  <c r="J37" i="20"/>
  <c r="I37" i="20"/>
  <c r="H37" i="20"/>
  <c r="G37" i="20"/>
  <c r="F37" i="20"/>
  <c r="E37" i="20"/>
  <c r="D37" i="20"/>
  <c r="C37" i="20"/>
  <c r="B37" i="20"/>
  <c r="P36" i="20"/>
  <c r="O36" i="20"/>
  <c r="N36" i="20"/>
  <c r="M36" i="20"/>
  <c r="L36" i="20"/>
  <c r="K36" i="20"/>
  <c r="J36" i="20"/>
  <c r="I36" i="20"/>
  <c r="H36" i="20"/>
  <c r="G36" i="20"/>
  <c r="F36" i="20"/>
  <c r="E36" i="20"/>
  <c r="D36" i="20"/>
  <c r="C36" i="20"/>
  <c r="B36" i="20"/>
  <c r="P35" i="20"/>
  <c r="O35" i="20"/>
  <c r="N35" i="20"/>
  <c r="M35" i="20"/>
  <c r="L35" i="20"/>
  <c r="K35" i="20"/>
  <c r="J35" i="20"/>
  <c r="I35" i="20"/>
  <c r="H35" i="20"/>
  <c r="G35" i="20"/>
  <c r="F35" i="20"/>
  <c r="E35" i="20"/>
  <c r="D35" i="20"/>
  <c r="C35" i="20"/>
  <c r="B35" i="20"/>
  <c r="P25" i="20"/>
  <c r="O25" i="20"/>
  <c r="N25" i="20"/>
  <c r="M25" i="20"/>
  <c r="L25" i="20"/>
  <c r="K25" i="20"/>
  <c r="J25" i="20"/>
  <c r="I25" i="20"/>
  <c r="H25" i="20"/>
  <c r="G25" i="20"/>
  <c r="F25" i="20"/>
  <c r="E25" i="20"/>
  <c r="D25" i="20"/>
  <c r="C25" i="20"/>
  <c r="B25" i="20"/>
  <c r="P24" i="20"/>
  <c r="O24" i="20"/>
  <c r="N24" i="20"/>
  <c r="M24" i="20"/>
  <c r="L24" i="20"/>
  <c r="K24" i="20"/>
  <c r="J24" i="20"/>
  <c r="I24" i="20"/>
  <c r="H24" i="20"/>
  <c r="G24" i="20"/>
  <c r="F24" i="20"/>
  <c r="E24" i="20"/>
  <c r="D24" i="20"/>
  <c r="C24" i="20"/>
  <c r="B24" i="20"/>
  <c r="P23" i="20"/>
  <c r="O23" i="20"/>
  <c r="N23" i="20"/>
  <c r="M23" i="20"/>
  <c r="L23" i="20"/>
  <c r="K23" i="20"/>
  <c r="J23" i="20"/>
  <c r="I23" i="20"/>
  <c r="H23" i="20"/>
  <c r="G23" i="20"/>
  <c r="F23" i="20"/>
  <c r="E23" i="20"/>
  <c r="D23" i="20"/>
  <c r="C23" i="20"/>
  <c r="B23" i="20"/>
  <c r="P22" i="20"/>
  <c r="O22" i="20"/>
  <c r="N22" i="20"/>
  <c r="M22" i="20"/>
  <c r="L22" i="20"/>
  <c r="K22" i="20"/>
  <c r="J22" i="20"/>
  <c r="I22" i="20"/>
  <c r="H22" i="20"/>
  <c r="G22" i="20"/>
  <c r="F22" i="20"/>
  <c r="E22" i="20"/>
  <c r="D22" i="20"/>
  <c r="C22" i="20"/>
  <c r="B22" i="20"/>
  <c r="P20" i="20"/>
  <c r="O20" i="20"/>
  <c r="N20" i="20"/>
  <c r="M20" i="20"/>
  <c r="L20" i="20"/>
  <c r="K20" i="20"/>
  <c r="J20" i="20"/>
  <c r="I20" i="20"/>
  <c r="H20" i="20"/>
  <c r="G20" i="20"/>
  <c r="F20" i="20"/>
  <c r="E20" i="20"/>
  <c r="D20" i="20"/>
  <c r="C20" i="20"/>
  <c r="B20" i="20"/>
  <c r="P19" i="20"/>
  <c r="O19" i="20"/>
  <c r="N19" i="20"/>
  <c r="M19" i="20"/>
  <c r="L19" i="20"/>
  <c r="K19" i="20"/>
  <c r="J19" i="20"/>
  <c r="I19" i="20"/>
  <c r="H19" i="20"/>
  <c r="G19" i="20"/>
  <c r="F19" i="20"/>
  <c r="E19" i="20"/>
  <c r="D19" i="20"/>
  <c r="C19" i="20"/>
  <c r="B19" i="20"/>
  <c r="P18" i="20"/>
  <c r="O18" i="20"/>
  <c r="N18" i="20"/>
  <c r="M18" i="20"/>
  <c r="L18" i="20"/>
  <c r="K18" i="20"/>
  <c r="J18" i="20"/>
  <c r="I18" i="20"/>
  <c r="H18" i="20"/>
  <c r="G18" i="20"/>
  <c r="F18" i="20"/>
  <c r="E18" i="20"/>
  <c r="D18" i="20"/>
  <c r="C18" i="20"/>
  <c r="B18" i="20"/>
  <c r="P17" i="20"/>
  <c r="O17" i="20"/>
  <c r="N17" i="20"/>
  <c r="M17" i="20"/>
  <c r="L17" i="20"/>
  <c r="K17" i="20"/>
  <c r="J17" i="20"/>
  <c r="I17" i="20"/>
  <c r="H17" i="20"/>
  <c r="G17" i="20"/>
  <c r="F17" i="20"/>
  <c r="E17" i="20"/>
  <c r="D17" i="20"/>
  <c r="C17" i="20"/>
  <c r="B17" i="20"/>
  <c r="P15" i="20"/>
  <c r="O15" i="20"/>
  <c r="N15" i="20"/>
  <c r="M15" i="20"/>
  <c r="L15" i="20"/>
  <c r="K15" i="20"/>
  <c r="J15" i="20"/>
  <c r="I15" i="20"/>
  <c r="H15" i="20"/>
  <c r="G15" i="20"/>
  <c r="F15" i="20"/>
  <c r="E15" i="20"/>
  <c r="D15" i="20"/>
  <c r="C15" i="20"/>
  <c r="B15" i="20"/>
  <c r="P14" i="20"/>
  <c r="O14" i="20"/>
  <c r="N14" i="20"/>
  <c r="M14" i="20"/>
  <c r="L14" i="20"/>
  <c r="K14" i="20"/>
  <c r="J14" i="20"/>
  <c r="I14" i="20"/>
  <c r="H14" i="20"/>
  <c r="G14" i="20"/>
  <c r="F14" i="20"/>
  <c r="E14" i="20"/>
  <c r="D14" i="20"/>
  <c r="C14" i="20"/>
  <c r="B14" i="20"/>
  <c r="P13" i="20"/>
  <c r="O13" i="20"/>
  <c r="N13" i="20"/>
  <c r="M13" i="20"/>
  <c r="L13" i="20"/>
  <c r="K13" i="20"/>
  <c r="J13" i="20"/>
  <c r="I13" i="20"/>
  <c r="H13" i="20"/>
  <c r="G13" i="20"/>
  <c r="F13" i="20"/>
  <c r="E13" i="20"/>
  <c r="D13" i="20"/>
  <c r="C13" i="20"/>
  <c r="B13" i="20"/>
  <c r="P12" i="20"/>
  <c r="O12" i="20"/>
  <c r="N12" i="20"/>
  <c r="M12" i="20"/>
  <c r="L12" i="20"/>
  <c r="K12" i="20"/>
  <c r="J12" i="20"/>
  <c r="I12" i="20"/>
  <c r="H12" i="20"/>
  <c r="G12" i="20"/>
  <c r="F12" i="20"/>
  <c r="E12" i="20"/>
  <c r="D12" i="20"/>
  <c r="C12" i="20"/>
  <c r="B12" i="20"/>
  <c r="P10" i="20"/>
  <c r="O10" i="20"/>
  <c r="N10" i="20"/>
  <c r="M10" i="20"/>
  <c r="L10" i="20"/>
  <c r="K10" i="20"/>
  <c r="J10" i="20"/>
  <c r="I10" i="20"/>
  <c r="H10" i="20"/>
  <c r="G10" i="20"/>
  <c r="F10" i="20"/>
  <c r="E10" i="20"/>
  <c r="D10" i="20"/>
  <c r="C10" i="20"/>
  <c r="B10" i="20"/>
  <c r="P9" i="20"/>
  <c r="O9" i="20"/>
  <c r="N9" i="20"/>
  <c r="M9" i="20"/>
  <c r="L9" i="20"/>
  <c r="K9" i="20"/>
  <c r="J9" i="20"/>
  <c r="I9" i="20"/>
  <c r="H9" i="20"/>
  <c r="G9" i="20"/>
  <c r="F9" i="20"/>
  <c r="E9" i="20"/>
  <c r="D9" i="20"/>
  <c r="C9" i="20"/>
  <c r="B9" i="20"/>
  <c r="P8" i="20"/>
  <c r="O8" i="20"/>
  <c r="N8" i="20"/>
  <c r="M8" i="20"/>
  <c r="L8" i="20"/>
  <c r="K8" i="20"/>
  <c r="J8" i="20"/>
  <c r="I8" i="20"/>
  <c r="H8" i="20"/>
  <c r="G8" i="20"/>
  <c r="F8" i="20"/>
  <c r="E8" i="20"/>
  <c r="D8" i="20"/>
  <c r="C8" i="20"/>
  <c r="B8" i="20"/>
  <c r="P7" i="20"/>
  <c r="O7" i="20"/>
  <c r="N7" i="20"/>
  <c r="M7" i="20"/>
  <c r="L7" i="20"/>
  <c r="K7" i="20"/>
  <c r="J7" i="20"/>
  <c r="I7" i="20"/>
  <c r="H7" i="20"/>
  <c r="G7" i="20"/>
  <c r="F7" i="20"/>
  <c r="E7" i="20"/>
  <c r="D7" i="20"/>
  <c r="C7" i="20"/>
  <c r="B7" i="20"/>
  <c r="H110" i="19"/>
  <c r="G110" i="19"/>
  <c r="F110" i="19"/>
  <c r="E110" i="19"/>
  <c r="D110" i="19"/>
  <c r="C110" i="19"/>
  <c r="B110" i="19"/>
  <c r="H109" i="19"/>
  <c r="G109" i="19"/>
  <c r="F109" i="19"/>
  <c r="E109" i="19"/>
  <c r="D109" i="19"/>
  <c r="C109" i="19"/>
  <c r="B109" i="19"/>
  <c r="H108" i="19"/>
  <c r="G108" i="19"/>
  <c r="F108" i="19"/>
  <c r="E108" i="19"/>
  <c r="D108" i="19"/>
  <c r="C108" i="19"/>
  <c r="B108" i="19"/>
  <c r="H107" i="19"/>
  <c r="G107" i="19"/>
  <c r="F107" i="19"/>
  <c r="E107" i="19"/>
  <c r="D107" i="19"/>
  <c r="C107" i="19"/>
  <c r="B107" i="19"/>
  <c r="H105" i="19"/>
  <c r="G105" i="19"/>
  <c r="F105" i="19"/>
  <c r="E105" i="19"/>
  <c r="D105" i="19"/>
  <c r="C105" i="19"/>
  <c r="B105" i="19"/>
  <c r="H104" i="19"/>
  <c r="G104" i="19"/>
  <c r="F104" i="19"/>
  <c r="E104" i="19"/>
  <c r="D104" i="19"/>
  <c r="C104" i="19"/>
  <c r="B104" i="19"/>
  <c r="H103" i="19"/>
  <c r="G103" i="19"/>
  <c r="F103" i="19"/>
  <c r="E103" i="19"/>
  <c r="D103" i="19"/>
  <c r="C103" i="19"/>
  <c r="B103" i="19"/>
  <c r="H102" i="19"/>
  <c r="G102" i="19"/>
  <c r="F102" i="19"/>
  <c r="E102" i="19"/>
  <c r="D102" i="19"/>
  <c r="C102" i="19"/>
  <c r="B102" i="19"/>
  <c r="H100" i="19"/>
  <c r="G100" i="19"/>
  <c r="F100" i="19"/>
  <c r="E100" i="19"/>
  <c r="D100" i="19"/>
  <c r="C100" i="19"/>
  <c r="B100" i="19"/>
  <c r="H99" i="19"/>
  <c r="G99" i="19"/>
  <c r="F99" i="19"/>
  <c r="E99" i="19"/>
  <c r="D99" i="19"/>
  <c r="C99" i="19"/>
  <c r="B99" i="19"/>
  <c r="H98" i="19"/>
  <c r="G98" i="19"/>
  <c r="F98" i="19"/>
  <c r="E98" i="19"/>
  <c r="D98" i="19"/>
  <c r="C98" i="19"/>
  <c r="B98" i="19"/>
  <c r="H97" i="19"/>
  <c r="G97" i="19"/>
  <c r="F97" i="19"/>
  <c r="E97" i="19"/>
  <c r="D97" i="19"/>
  <c r="C97" i="19"/>
  <c r="B97" i="19"/>
  <c r="H95" i="19"/>
  <c r="G95" i="19"/>
  <c r="F95" i="19"/>
  <c r="E95" i="19"/>
  <c r="D95" i="19"/>
  <c r="C95" i="19"/>
  <c r="B95" i="19"/>
  <c r="H94" i="19"/>
  <c r="G94" i="19"/>
  <c r="F94" i="19"/>
  <c r="E94" i="19"/>
  <c r="D94" i="19"/>
  <c r="C94" i="19"/>
  <c r="B94" i="19"/>
  <c r="H93" i="19"/>
  <c r="G93" i="19"/>
  <c r="F93" i="19"/>
  <c r="E93" i="19"/>
  <c r="D93" i="19"/>
  <c r="C93" i="19"/>
  <c r="B93" i="19"/>
  <c r="H92" i="19"/>
  <c r="G92" i="19"/>
  <c r="F92" i="19"/>
  <c r="E92" i="19"/>
  <c r="D92" i="19"/>
  <c r="C92" i="19"/>
  <c r="B92" i="19"/>
  <c r="H82" i="19"/>
  <c r="G82" i="19"/>
  <c r="F82" i="19"/>
  <c r="E82" i="19"/>
  <c r="D82" i="19"/>
  <c r="C82" i="19"/>
  <c r="B82" i="19"/>
  <c r="H81" i="19"/>
  <c r="G81" i="19"/>
  <c r="F81" i="19"/>
  <c r="E81" i="19"/>
  <c r="D81" i="19"/>
  <c r="C81" i="19"/>
  <c r="B81" i="19"/>
  <c r="H80" i="19"/>
  <c r="G80" i="19"/>
  <c r="F80" i="19"/>
  <c r="E80" i="19"/>
  <c r="D80" i="19"/>
  <c r="C80" i="19"/>
  <c r="B80" i="19"/>
  <c r="H79" i="19"/>
  <c r="G79" i="19"/>
  <c r="F79" i="19"/>
  <c r="E79" i="19"/>
  <c r="D79" i="19"/>
  <c r="C79" i="19"/>
  <c r="B79" i="19"/>
  <c r="H77" i="19"/>
  <c r="G77" i="19"/>
  <c r="F77" i="19"/>
  <c r="E77" i="19"/>
  <c r="D77" i="19"/>
  <c r="C77" i="19"/>
  <c r="B77" i="19"/>
  <c r="H76" i="19"/>
  <c r="G76" i="19"/>
  <c r="F76" i="19"/>
  <c r="E76" i="19"/>
  <c r="D76" i="19"/>
  <c r="C76" i="19"/>
  <c r="B76" i="19"/>
  <c r="H75" i="19"/>
  <c r="G75" i="19"/>
  <c r="F75" i="19"/>
  <c r="E75" i="19"/>
  <c r="D75" i="19"/>
  <c r="C75" i="19"/>
  <c r="B75" i="19"/>
  <c r="H74" i="19"/>
  <c r="G74" i="19"/>
  <c r="F74" i="19"/>
  <c r="E74" i="19"/>
  <c r="D74" i="19"/>
  <c r="C74" i="19"/>
  <c r="B74" i="19"/>
  <c r="H72" i="19"/>
  <c r="G72" i="19"/>
  <c r="F72" i="19"/>
  <c r="E72" i="19"/>
  <c r="D72" i="19"/>
  <c r="C72" i="19"/>
  <c r="B72" i="19"/>
  <c r="H71" i="19"/>
  <c r="G71" i="19"/>
  <c r="F71" i="19"/>
  <c r="E71" i="19"/>
  <c r="D71" i="19"/>
  <c r="C71" i="19"/>
  <c r="B71" i="19"/>
  <c r="H70" i="19"/>
  <c r="G70" i="19"/>
  <c r="F70" i="19"/>
  <c r="E70" i="19"/>
  <c r="D70" i="19"/>
  <c r="C70" i="19"/>
  <c r="B70" i="19"/>
  <c r="H69" i="19"/>
  <c r="G69" i="19"/>
  <c r="F69" i="19"/>
  <c r="E69" i="19"/>
  <c r="D69" i="19"/>
  <c r="C69" i="19"/>
  <c r="B69" i="19"/>
  <c r="H67" i="19"/>
  <c r="G67" i="19"/>
  <c r="F67" i="19"/>
  <c r="E67" i="19"/>
  <c r="D67" i="19"/>
  <c r="C67" i="19"/>
  <c r="B67" i="19"/>
  <c r="H66" i="19"/>
  <c r="G66" i="19"/>
  <c r="F66" i="19"/>
  <c r="E66" i="19"/>
  <c r="D66" i="19"/>
  <c r="C66" i="19"/>
  <c r="B66" i="19"/>
  <c r="H65" i="19"/>
  <c r="G65" i="19"/>
  <c r="F65" i="19"/>
  <c r="E65" i="19"/>
  <c r="D65" i="19"/>
  <c r="C65" i="19"/>
  <c r="B65" i="19"/>
  <c r="H64" i="19"/>
  <c r="G64" i="19"/>
  <c r="F64" i="19"/>
  <c r="E64" i="19"/>
  <c r="D64" i="19"/>
  <c r="C64" i="19"/>
  <c r="B64" i="19"/>
  <c r="P52" i="19"/>
  <c r="O52" i="19"/>
  <c r="N52" i="19"/>
  <c r="M52" i="19"/>
  <c r="L52" i="19"/>
  <c r="K52" i="19"/>
  <c r="J52" i="19"/>
  <c r="I52" i="19"/>
  <c r="H52" i="19"/>
  <c r="G52" i="19"/>
  <c r="F52" i="19"/>
  <c r="E52" i="19"/>
  <c r="D52" i="19"/>
  <c r="C52" i="19"/>
  <c r="B52" i="19"/>
  <c r="P51" i="19"/>
  <c r="O51" i="19"/>
  <c r="N51" i="19"/>
  <c r="M51" i="19"/>
  <c r="L51" i="19"/>
  <c r="K51" i="19"/>
  <c r="J51" i="19"/>
  <c r="I51" i="19"/>
  <c r="H51" i="19"/>
  <c r="G51" i="19"/>
  <c r="F51" i="19"/>
  <c r="E51" i="19"/>
  <c r="D51" i="19"/>
  <c r="C51" i="19"/>
  <c r="B51" i="19"/>
  <c r="P50" i="19"/>
  <c r="O50" i="19"/>
  <c r="N50" i="19"/>
  <c r="M50" i="19"/>
  <c r="L50" i="19"/>
  <c r="K50" i="19"/>
  <c r="J50" i="19"/>
  <c r="I50" i="19"/>
  <c r="H50" i="19"/>
  <c r="G50" i="19"/>
  <c r="F50" i="19"/>
  <c r="E50" i="19"/>
  <c r="D50" i="19"/>
  <c r="C50" i="19"/>
  <c r="B50" i="19"/>
  <c r="P49" i="19"/>
  <c r="O49" i="19"/>
  <c r="N49" i="19"/>
  <c r="M49" i="19"/>
  <c r="L49" i="19"/>
  <c r="K49" i="19"/>
  <c r="J49" i="19"/>
  <c r="I49" i="19"/>
  <c r="H49" i="19"/>
  <c r="G49" i="19"/>
  <c r="F49" i="19"/>
  <c r="E49" i="19"/>
  <c r="D49" i="19"/>
  <c r="C49" i="19"/>
  <c r="B49" i="19"/>
  <c r="P47" i="19"/>
  <c r="O47" i="19"/>
  <c r="N47" i="19"/>
  <c r="M47" i="19"/>
  <c r="L47" i="19"/>
  <c r="K47" i="19"/>
  <c r="J47" i="19"/>
  <c r="I47" i="19"/>
  <c r="H47" i="19"/>
  <c r="G47" i="19"/>
  <c r="F47" i="19"/>
  <c r="E47" i="19"/>
  <c r="D47" i="19"/>
  <c r="C47" i="19"/>
  <c r="B47" i="19"/>
  <c r="P46" i="19"/>
  <c r="O46" i="19"/>
  <c r="N46" i="19"/>
  <c r="M46" i="19"/>
  <c r="L46" i="19"/>
  <c r="K46" i="19"/>
  <c r="J46" i="19"/>
  <c r="I46" i="19"/>
  <c r="H46" i="19"/>
  <c r="G46" i="19"/>
  <c r="F46" i="19"/>
  <c r="E46" i="19"/>
  <c r="D46" i="19"/>
  <c r="C46" i="19"/>
  <c r="B46" i="19"/>
  <c r="P45" i="19"/>
  <c r="O45" i="19"/>
  <c r="N45" i="19"/>
  <c r="M45" i="19"/>
  <c r="L45" i="19"/>
  <c r="K45" i="19"/>
  <c r="J45" i="19"/>
  <c r="I45" i="19"/>
  <c r="H45" i="19"/>
  <c r="G45" i="19"/>
  <c r="F45" i="19"/>
  <c r="E45" i="19"/>
  <c r="D45" i="19"/>
  <c r="C45" i="19"/>
  <c r="B45" i="19"/>
  <c r="P44" i="19"/>
  <c r="O44" i="19"/>
  <c r="N44" i="19"/>
  <c r="M44" i="19"/>
  <c r="L44" i="19"/>
  <c r="K44" i="19"/>
  <c r="J44" i="19"/>
  <c r="I44" i="19"/>
  <c r="H44" i="19"/>
  <c r="G44" i="19"/>
  <c r="F44" i="19"/>
  <c r="E44" i="19"/>
  <c r="D44" i="19"/>
  <c r="C44" i="19"/>
  <c r="B44" i="19"/>
  <c r="P42" i="19"/>
  <c r="O42" i="19"/>
  <c r="N42" i="19"/>
  <c r="M42" i="19"/>
  <c r="L42" i="19"/>
  <c r="K42" i="19"/>
  <c r="J42" i="19"/>
  <c r="I42" i="19"/>
  <c r="H42" i="19"/>
  <c r="G42" i="19"/>
  <c r="F42" i="19"/>
  <c r="E42" i="19"/>
  <c r="D42" i="19"/>
  <c r="C42" i="19"/>
  <c r="B42" i="19"/>
  <c r="P41" i="19"/>
  <c r="O41" i="19"/>
  <c r="N41" i="19"/>
  <c r="M41" i="19"/>
  <c r="L41" i="19"/>
  <c r="K41" i="19"/>
  <c r="J41" i="19"/>
  <c r="I41" i="19"/>
  <c r="H41" i="19"/>
  <c r="G41" i="19"/>
  <c r="F41" i="19"/>
  <c r="E41" i="19"/>
  <c r="D41" i="19"/>
  <c r="C41" i="19"/>
  <c r="B41" i="19"/>
  <c r="P40" i="19"/>
  <c r="O40" i="19"/>
  <c r="N40" i="19"/>
  <c r="M40" i="19"/>
  <c r="L40" i="19"/>
  <c r="K40" i="19"/>
  <c r="J40" i="19"/>
  <c r="I40" i="19"/>
  <c r="H40" i="19"/>
  <c r="G40" i="19"/>
  <c r="F40" i="19"/>
  <c r="E40" i="19"/>
  <c r="D40" i="19"/>
  <c r="C40" i="19"/>
  <c r="B40" i="19"/>
  <c r="P39" i="19"/>
  <c r="O39" i="19"/>
  <c r="N39" i="19"/>
  <c r="M39" i="19"/>
  <c r="L39" i="19"/>
  <c r="K39" i="19"/>
  <c r="J39" i="19"/>
  <c r="I39" i="19"/>
  <c r="H39" i="19"/>
  <c r="G39" i="19"/>
  <c r="F39" i="19"/>
  <c r="E39" i="19"/>
  <c r="D39" i="19"/>
  <c r="C39" i="19"/>
  <c r="B39" i="19"/>
  <c r="P37" i="19"/>
  <c r="O37" i="19"/>
  <c r="N37" i="19"/>
  <c r="M37" i="19"/>
  <c r="L37" i="19"/>
  <c r="K37" i="19"/>
  <c r="J37" i="19"/>
  <c r="I37" i="19"/>
  <c r="H37" i="19"/>
  <c r="G37" i="19"/>
  <c r="F37" i="19"/>
  <c r="E37" i="19"/>
  <c r="D37" i="19"/>
  <c r="C37" i="19"/>
  <c r="B37" i="19"/>
  <c r="P36" i="19"/>
  <c r="O36" i="19"/>
  <c r="N36" i="19"/>
  <c r="M36" i="19"/>
  <c r="L36" i="19"/>
  <c r="K36" i="19"/>
  <c r="J36" i="19"/>
  <c r="I36" i="19"/>
  <c r="H36" i="19"/>
  <c r="G36" i="19"/>
  <c r="F36" i="19"/>
  <c r="E36" i="19"/>
  <c r="D36" i="19"/>
  <c r="C36" i="19"/>
  <c r="B36" i="19"/>
  <c r="P35" i="19"/>
  <c r="O35" i="19"/>
  <c r="N35" i="19"/>
  <c r="M35" i="19"/>
  <c r="L35" i="19"/>
  <c r="K35" i="19"/>
  <c r="J35" i="19"/>
  <c r="I35" i="19"/>
  <c r="H35" i="19"/>
  <c r="G35" i="19"/>
  <c r="F35" i="19"/>
  <c r="E35" i="19"/>
  <c r="D35" i="19"/>
  <c r="C35" i="19"/>
  <c r="B35" i="19"/>
  <c r="P34" i="19"/>
  <c r="O34" i="19"/>
  <c r="N34" i="19"/>
  <c r="M34" i="19"/>
  <c r="L34" i="19"/>
  <c r="K34" i="19"/>
  <c r="J34" i="19"/>
  <c r="I34" i="19"/>
  <c r="H34" i="19"/>
  <c r="G34" i="19"/>
  <c r="F34" i="19"/>
  <c r="E34" i="19"/>
  <c r="D34" i="19"/>
  <c r="C34" i="19"/>
  <c r="B34" i="19"/>
  <c r="P25" i="19"/>
  <c r="O25" i="19"/>
  <c r="N25" i="19"/>
  <c r="M25" i="19"/>
  <c r="L25" i="19"/>
  <c r="K25" i="19"/>
  <c r="J25" i="19"/>
  <c r="I25" i="19"/>
  <c r="H25" i="19"/>
  <c r="G25" i="19"/>
  <c r="F25" i="19"/>
  <c r="E25" i="19"/>
  <c r="D25" i="19"/>
  <c r="C25" i="19"/>
  <c r="B25" i="19"/>
  <c r="P24" i="19"/>
  <c r="O24" i="19"/>
  <c r="N24" i="19"/>
  <c r="M24" i="19"/>
  <c r="L24" i="19"/>
  <c r="K24" i="19"/>
  <c r="J24" i="19"/>
  <c r="I24" i="19"/>
  <c r="H24" i="19"/>
  <c r="G24" i="19"/>
  <c r="F24" i="19"/>
  <c r="E24" i="19"/>
  <c r="D24" i="19"/>
  <c r="C24" i="19"/>
  <c r="B24" i="19"/>
  <c r="P23" i="19"/>
  <c r="O23" i="19"/>
  <c r="N23" i="19"/>
  <c r="M23" i="19"/>
  <c r="L23" i="19"/>
  <c r="K23" i="19"/>
  <c r="J23" i="19"/>
  <c r="I23" i="19"/>
  <c r="H23" i="19"/>
  <c r="G23" i="19"/>
  <c r="F23" i="19"/>
  <c r="E23" i="19"/>
  <c r="D23" i="19"/>
  <c r="C23" i="19"/>
  <c r="B23" i="19"/>
  <c r="P22" i="19"/>
  <c r="O22" i="19"/>
  <c r="N22" i="19"/>
  <c r="M22" i="19"/>
  <c r="L22" i="19"/>
  <c r="K22" i="19"/>
  <c r="J22" i="19"/>
  <c r="I22" i="19"/>
  <c r="H22" i="19"/>
  <c r="G22" i="19"/>
  <c r="F22" i="19"/>
  <c r="E22" i="19"/>
  <c r="D22" i="19"/>
  <c r="C22" i="19"/>
  <c r="B22" i="19"/>
  <c r="P20" i="19"/>
  <c r="O20" i="19"/>
  <c r="N20" i="19"/>
  <c r="M20" i="19"/>
  <c r="L20" i="19"/>
  <c r="K20" i="19"/>
  <c r="J20" i="19"/>
  <c r="I20" i="19"/>
  <c r="H20" i="19"/>
  <c r="G20" i="19"/>
  <c r="F20" i="19"/>
  <c r="E20" i="19"/>
  <c r="D20" i="19"/>
  <c r="C20" i="19"/>
  <c r="B20" i="19"/>
  <c r="P19" i="19"/>
  <c r="O19" i="19"/>
  <c r="N19" i="19"/>
  <c r="M19" i="19"/>
  <c r="L19" i="19"/>
  <c r="K19" i="19"/>
  <c r="J19" i="19"/>
  <c r="I19" i="19"/>
  <c r="H19" i="19"/>
  <c r="G19" i="19"/>
  <c r="F19" i="19"/>
  <c r="E19" i="19"/>
  <c r="D19" i="19"/>
  <c r="C19" i="19"/>
  <c r="B19" i="19"/>
  <c r="P18" i="19"/>
  <c r="O18" i="19"/>
  <c r="N18" i="19"/>
  <c r="M18" i="19"/>
  <c r="L18" i="19"/>
  <c r="K18" i="19"/>
  <c r="J18" i="19"/>
  <c r="I18" i="19"/>
  <c r="H18" i="19"/>
  <c r="G18" i="19"/>
  <c r="F18" i="19"/>
  <c r="E18" i="19"/>
  <c r="D18" i="19"/>
  <c r="C18" i="19"/>
  <c r="B18" i="19"/>
  <c r="P17" i="19"/>
  <c r="O17" i="19"/>
  <c r="N17" i="19"/>
  <c r="M17" i="19"/>
  <c r="L17" i="19"/>
  <c r="K17" i="19"/>
  <c r="J17" i="19"/>
  <c r="I17" i="19"/>
  <c r="H17" i="19"/>
  <c r="G17" i="19"/>
  <c r="F17" i="19"/>
  <c r="E17" i="19"/>
  <c r="D17" i="19"/>
  <c r="C17" i="19"/>
  <c r="B17" i="19"/>
  <c r="P15" i="19"/>
  <c r="O15" i="19"/>
  <c r="N15" i="19"/>
  <c r="M15" i="19"/>
  <c r="L15" i="19"/>
  <c r="K15" i="19"/>
  <c r="J15" i="19"/>
  <c r="I15" i="19"/>
  <c r="H15" i="19"/>
  <c r="G15" i="19"/>
  <c r="F15" i="19"/>
  <c r="E15" i="19"/>
  <c r="D15" i="19"/>
  <c r="C15" i="19"/>
  <c r="B15" i="19"/>
  <c r="P14" i="19"/>
  <c r="O14" i="19"/>
  <c r="N14" i="19"/>
  <c r="M14" i="19"/>
  <c r="L14" i="19"/>
  <c r="K14" i="19"/>
  <c r="J14" i="19"/>
  <c r="I14" i="19"/>
  <c r="H14" i="19"/>
  <c r="G14" i="19"/>
  <c r="F14" i="19"/>
  <c r="E14" i="19"/>
  <c r="D14" i="19"/>
  <c r="C14" i="19"/>
  <c r="B14" i="19"/>
  <c r="P13" i="19"/>
  <c r="O13" i="19"/>
  <c r="N13" i="19"/>
  <c r="M13" i="19"/>
  <c r="L13" i="19"/>
  <c r="K13" i="19"/>
  <c r="J13" i="19"/>
  <c r="I13" i="19"/>
  <c r="H13" i="19"/>
  <c r="G13" i="19"/>
  <c r="F13" i="19"/>
  <c r="E13" i="19"/>
  <c r="D13" i="19"/>
  <c r="C13" i="19"/>
  <c r="B13" i="19"/>
  <c r="P12" i="19"/>
  <c r="O12" i="19"/>
  <c r="N12" i="19"/>
  <c r="M12" i="19"/>
  <c r="L12" i="19"/>
  <c r="K12" i="19"/>
  <c r="J12" i="19"/>
  <c r="I12" i="19"/>
  <c r="H12" i="19"/>
  <c r="G12" i="19"/>
  <c r="F12" i="19"/>
  <c r="E12" i="19"/>
  <c r="D12" i="19"/>
  <c r="C12" i="19"/>
  <c r="B12" i="19"/>
  <c r="P10" i="19"/>
  <c r="O10" i="19"/>
  <c r="N10" i="19"/>
  <c r="M10" i="19"/>
  <c r="L10" i="19"/>
  <c r="K10" i="19"/>
  <c r="J10" i="19"/>
  <c r="I10" i="19"/>
  <c r="H10" i="19"/>
  <c r="G10" i="19"/>
  <c r="F10" i="19"/>
  <c r="E10" i="19"/>
  <c r="D10" i="19"/>
  <c r="C10" i="19"/>
  <c r="B10" i="19"/>
  <c r="P9" i="19"/>
  <c r="O9" i="19"/>
  <c r="N9" i="19"/>
  <c r="M9" i="19"/>
  <c r="L9" i="19"/>
  <c r="K9" i="19"/>
  <c r="J9" i="19"/>
  <c r="I9" i="19"/>
  <c r="H9" i="19"/>
  <c r="G9" i="19"/>
  <c r="F9" i="19"/>
  <c r="E9" i="19"/>
  <c r="D9" i="19"/>
  <c r="C9" i="19"/>
  <c r="B9" i="19"/>
  <c r="P8" i="19"/>
  <c r="O8" i="19"/>
  <c r="N8" i="19"/>
  <c r="M8" i="19"/>
  <c r="L8" i="19"/>
  <c r="K8" i="19"/>
  <c r="J8" i="19"/>
  <c r="I8" i="19"/>
  <c r="H8" i="19"/>
  <c r="G8" i="19"/>
  <c r="F8" i="19"/>
  <c r="E8" i="19"/>
  <c r="D8" i="19"/>
  <c r="C8" i="19"/>
  <c r="B8" i="19"/>
  <c r="P7" i="19"/>
  <c r="O7" i="19"/>
  <c r="N7" i="19"/>
  <c r="M7" i="19"/>
  <c r="L7" i="19"/>
  <c r="K7" i="19"/>
  <c r="J7" i="19"/>
  <c r="I7" i="19"/>
  <c r="H7" i="19"/>
  <c r="G7" i="19"/>
  <c r="F7" i="19"/>
  <c r="E7" i="19"/>
  <c r="D7" i="19"/>
  <c r="C7" i="19"/>
  <c r="B7" i="19"/>
  <c r="R14" i="18"/>
  <c r="H458" i="18"/>
  <c r="G458" i="18"/>
  <c r="F458" i="18"/>
  <c r="E458" i="18"/>
  <c r="D458" i="18" s="1"/>
  <c r="C458" i="18"/>
  <c r="B458" i="18"/>
  <c r="Q458" i="18" s="1"/>
  <c r="H457" i="18"/>
  <c r="G457" i="18"/>
  <c r="D457" i="18" s="1"/>
  <c r="F457" i="18"/>
  <c r="E457" i="18"/>
  <c r="C457" i="18"/>
  <c r="B457" i="18"/>
  <c r="H456" i="18"/>
  <c r="G456" i="18"/>
  <c r="F456" i="18"/>
  <c r="E456" i="18"/>
  <c r="D456" i="18" s="1"/>
  <c r="C456" i="18"/>
  <c r="B456" i="18"/>
  <c r="H455" i="18"/>
  <c r="G455" i="18"/>
  <c r="F455" i="18"/>
  <c r="E455" i="18"/>
  <c r="D455" i="18" s="1"/>
  <c r="C455" i="18"/>
  <c r="B455" i="18"/>
  <c r="H453" i="18"/>
  <c r="G453" i="18"/>
  <c r="F453" i="18"/>
  <c r="E453" i="18"/>
  <c r="C453" i="18"/>
  <c r="B453" i="18"/>
  <c r="H452" i="18"/>
  <c r="G452" i="18"/>
  <c r="D452" i="18" s="1"/>
  <c r="F452" i="18"/>
  <c r="E452" i="18"/>
  <c r="C452" i="18"/>
  <c r="B452" i="18"/>
  <c r="H451" i="18"/>
  <c r="G451" i="18"/>
  <c r="F451" i="18"/>
  <c r="E451" i="18"/>
  <c r="D451" i="18" s="1"/>
  <c r="C451" i="18"/>
  <c r="B451" i="18"/>
  <c r="H450" i="18"/>
  <c r="G450" i="18"/>
  <c r="F450" i="18"/>
  <c r="E450" i="18"/>
  <c r="D450" i="18" s="1"/>
  <c r="C450" i="18"/>
  <c r="B450" i="18"/>
  <c r="H448" i="18"/>
  <c r="G448" i="18"/>
  <c r="F448" i="18"/>
  <c r="E448" i="18"/>
  <c r="C448" i="18"/>
  <c r="B448" i="18"/>
  <c r="H447" i="18"/>
  <c r="G447" i="18"/>
  <c r="D447" i="18" s="1"/>
  <c r="Q447" i="18" s="1"/>
  <c r="F447" i="18"/>
  <c r="E447" i="18"/>
  <c r="C447" i="18"/>
  <c r="B447" i="18"/>
  <c r="H446" i="18"/>
  <c r="G446" i="18"/>
  <c r="F446" i="18"/>
  <c r="E446" i="18"/>
  <c r="D446" i="18" s="1"/>
  <c r="Q446" i="18" s="1"/>
  <c r="C446" i="18"/>
  <c r="B446" i="18"/>
  <c r="H445" i="18"/>
  <c r="G445" i="18"/>
  <c r="F445" i="18"/>
  <c r="E445" i="18"/>
  <c r="C445" i="18"/>
  <c r="B445" i="18"/>
  <c r="H443" i="18"/>
  <c r="G443" i="18"/>
  <c r="F443" i="18"/>
  <c r="E443" i="18"/>
  <c r="D443" i="18" s="1"/>
  <c r="Q443" i="18" s="1"/>
  <c r="C443" i="18"/>
  <c r="B443" i="18"/>
  <c r="H442" i="18"/>
  <c r="G442" i="18"/>
  <c r="D442" i="18" s="1"/>
  <c r="Q442" i="18" s="1"/>
  <c r="F442" i="18"/>
  <c r="E442" i="18"/>
  <c r="C442" i="18"/>
  <c r="B442" i="18"/>
  <c r="H441" i="18"/>
  <c r="G441" i="18"/>
  <c r="F441" i="18"/>
  <c r="E441" i="18"/>
  <c r="C441" i="18"/>
  <c r="B441" i="18"/>
  <c r="H440" i="18"/>
  <c r="G440" i="18"/>
  <c r="F440" i="18"/>
  <c r="E440" i="18"/>
  <c r="C440" i="18"/>
  <c r="B440" i="18"/>
  <c r="H428" i="18"/>
  <c r="G428" i="18"/>
  <c r="F428" i="18"/>
  <c r="E428" i="18"/>
  <c r="C428" i="18"/>
  <c r="B428" i="18"/>
  <c r="H427" i="18"/>
  <c r="G427" i="18"/>
  <c r="D427" i="18" s="1"/>
  <c r="F427" i="18"/>
  <c r="E427" i="18"/>
  <c r="C427" i="18"/>
  <c r="B427" i="18"/>
  <c r="H426" i="18"/>
  <c r="G426" i="18"/>
  <c r="F426" i="18"/>
  <c r="E426" i="18"/>
  <c r="D426" i="18" s="1"/>
  <c r="Q426" i="18" s="1"/>
  <c r="C426" i="18"/>
  <c r="B426" i="18"/>
  <c r="H425" i="18"/>
  <c r="G425" i="18"/>
  <c r="F425" i="18"/>
  <c r="E425" i="18"/>
  <c r="D425" i="18" s="1"/>
  <c r="C425" i="18"/>
  <c r="B425" i="18"/>
  <c r="H423" i="18"/>
  <c r="G423" i="18"/>
  <c r="F423" i="18"/>
  <c r="E423" i="18"/>
  <c r="C423" i="18"/>
  <c r="B423" i="18"/>
  <c r="H422" i="18"/>
  <c r="G422" i="18"/>
  <c r="D422" i="18" s="1"/>
  <c r="Q422" i="18" s="1"/>
  <c r="F422" i="18"/>
  <c r="E422" i="18"/>
  <c r="C422" i="18"/>
  <c r="B422" i="18"/>
  <c r="H421" i="18"/>
  <c r="G421" i="18"/>
  <c r="F421" i="18"/>
  <c r="E421" i="18"/>
  <c r="D421" i="18" s="1"/>
  <c r="Q421" i="18" s="1"/>
  <c r="C421" i="18"/>
  <c r="B421" i="18"/>
  <c r="H420" i="18"/>
  <c r="G420" i="18"/>
  <c r="F420" i="18"/>
  <c r="E420" i="18"/>
  <c r="C420" i="18"/>
  <c r="B420" i="18"/>
  <c r="H418" i="18"/>
  <c r="G418" i="18"/>
  <c r="F418" i="18"/>
  <c r="E418" i="18"/>
  <c r="D418" i="18" s="1"/>
  <c r="C418" i="18"/>
  <c r="B418" i="18"/>
  <c r="H417" i="18"/>
  <c r="G417" i="18"/>
  <c r="D417" i="18" s="1"/>
  <c r="F417" i="18"/>
  <c r="E417" i="18"/>
  <c r="C417" i="18"/>
  <c r="B417" i="18"/>
  <c r="H416" i="18"/>
  <c r="G416" i="18"/>
  <c r="F416" i="18"/>
  <c r="E416" i="18"/>
  <c r="D416" i="18" s="1"/>
  <c r="C416" i="18"/>
  <c r="B416" i="18"/>
  <c r="H415" i="18"/>
  <c r="G415" i="18"/>
  <c r="F415" i="18"/>
  <c r="E415" i="18"/>
  <c r="D415" i="18" s="1"/>
  <c r="C415" i="18"/>
  <c r="B415" i="18"/>
  <c r="Q415" i="18" s="1"/>
  <c r="H413" i="18"/>
  <c r="G413" i="18"/>
  <c r="F413" i="18"/>
  <c r="E413" i="18"/>
  <c r="C413" i="18"/>
  <c r="B413" i="18"/>
  <c r="H412" i="18"/>
  <c r="G412" i="18"/>
  <c r="D412" i="18" s="1"/>
  <c r="F412" i="18"/>
  <c r="E412" i="18"/>
  <c r="C412" i="18"/>
  <c r="B412" i="18"/>
  <c r="H411" i="18"/>
  <c r="G411" i="18"/>
  <c r="F411" i="18"/>
  <c r="E411" i="18"/>
  <c r="D411" i="18" s="1"/>
  <c r="C411" i="18"/>
  <c r="B411" i="18"/>
  <c r="H410" i="18"/>
  <c r="G410" i="18"/>
  <c r="F410" i="18"/>
  <c r="E410" i="18"/>
  <c r="D410" i="18" s="1"/>
  <c r="C410" i="18"/>
  <c r="B410" i="18"/>
  <c r="H398" i="18"/>
  <c r="G398" i="18"/>
  <c r="F398" i="18"/>
  <c r="E398" i="18"/>
  <c r="C398" i="18"/>
  <c r="B398" i="18"/>
  <c r="H397" i="18"/>
  <c r="G397" i="18"/>
  <c r="F397" i="18"/>
  <c r="E397" i="18"/>
  <c r="C397" i="18"/>
  <c r="B397" i="18"/>
  <c r="H396" i="18"/>
  <c r="G396" i="18"/>
  <c r="F396" i="18"/>
  <c r="E396" i="18"/>
  <c r="C396" i="18"/>
  <c r="B396" i="18"/>
  <c r="H395" i="18"/>
  <c r="G395" i="18"/>
  <c r="F395" i="18"/>
  <c r="E395" i="18"/>
  <c r="C395" i="18"/>
  <c r="B395" i="18"/>
  <c r="H393" i="18"/>
  <c r="G393" i="18"/>
  <c r="F393" i="18"/>
  <c r="E393" i="18"/>
  <c r="D393" i="18" s="1"/>
  <c r="C393" i="18"/>
  <c r="B393" i="18"/>
  <c r="H392" i="18"/>
  <c r="G392" i="18"/>
  <c r="D392" i="18" s="1"/>
  <c r="Q392" i="18" s="1"/>
  <c r="F392" i="18"/>
  <c r="E392" i="18"/>
  <c r="C392" i="18"/>
  <c r="B392" i="18"/>
  <c r="H391" i="18"/>
  <c r="G391" i="18"/>
  <c r="F391" i="18"/>
  <c r="E391" i="18"/>
  <c r="D391" i="18" s="1"/>
  <c r="Q391" i="18" s="1"/>
  <c r="C391" i="18"/>
  <c r="B391" i="18"/>
  <c r="H390" i="18"/>
  <c r="G390" i="18"/>
  <c r="F390" i="18"/>
  <c r="E390" i="18"/>
  <c r="C390" i="18"/>
  <c r="B390" i="18"/>
  <c r="H388" i="18"/>
  <c r="G388" i="18"/>
  <c r="F388" i="18"/>
  <c r="E388" i="18"/>
  <c r="D388" i="18" s="1"/>
  <c r="C388" i="18"/>
  <c r="B388" i="18"/>
  <c r="Q388" i="18" s="1"/>
  <c r="H387" i="18"/>
  <c r="G387" i="18"/>
  <c r="D387" i="18" s="1"/>
  <c r="Q387" i="18" s="1"/>
  <c r="F387" i="18"/>
  <c r="E387" i="18"/>
  <c r="C387" i="18"/>
  <c r="B387" i="18"/>
  <c r="H386" i="18"/>
  <c r="G386" i="18"/>
  <c r="F386" i="18"/>
  <c r="E386" i="18"/>
  <c r="D386" i="18" s="1"/>
  <c r="Q386" i="18" s="1"/>
  <c r="C386" i="18"/>
  <c r="B386" i="18"/>
  <c r="H385" i="18"/>
  <c r="G385" i="18"/>
  <c r="F385" i="18"/>
  <c r="E385" i="18"/>
  <c r="D385" i="18" s="1"/>
  <c r="C385" i="18"/>
  <c r="B385" i="18"/>
  <c r="Q385" i="18" s="1"/>
  <c r="H383" i="18"/>
  <c r="G383" i="18"/>
  <c r="F383" i="18"/>
  <c r="E383" i="18"/>
  <c r="C383" i="18"/>
  <c r="B383" i="18"/>
  <c r="Q383" i="18" s="1"/>
  <c r="H382" i="18"/>
  <c r="G382" i="18"/>
  <c r="D382" i="18" s="1"/>
  <c r="Q382" i="18" s="1"/>
  <c r="F382" i="18"/>
  <c r="E382" i="18"/>
  <c r="C382" i="18"/>
  <c r="B382" i="18"/>
  <c r="H381" i="18"/>
  <c r="G381" i="18"/>
  <c r="F381" i="18"/>
  <c r="E381" i="18"/>
  <c r="D381" i="18" s="1"/>
  <c r="Q381" i="18" s="1"/>
  <c r="C381" i="18"/>
  <c r="B381" i="18"/>
  <c r="H380" i="18"/>
  <c r="G380" i="18"/>
  <c r="F380" i="18"/>
  <c r="E380" i="18"/>
  <c r="C380" i="18"/>
  <c r="B380" i="18"/>
  <c r="H367" i="18"/>
  <c r="G367" i="18"/>
  <c r="F367" i="18"/>
  <c r="E367" i="18"/>
  <c r="C367" i="18"/>
  <c r="B367" i="18"/>
  <c r="Q367" i="18" s="1"/>
  <c r="H366" i="18"/>
  <c r="G366" i="18"/>
  <c r="D366" i="18" s="1"/>
  <c r="Q366" i="18" s="1"/>
  <c r="F366" i="18"/>
  <c r="E366" i="18"/>
  <c r="C366" i="18"/>
  <c r="B366" i="18"/>
  <c r="H365" i="18"/>
  <c r="G365" i="18"/>
  <c r="F365" i="18"/>
  <c r="E365" i="18"/>
  <c r="C365" i="18"/>
  <c r="B365" i="18"/>
  <c r="H364" i="18"/>
  <c r="G364" i="18"/>
  <c r="F364" i="18"/>
  <c r="E364" i="18"/>
  <c r="C364" i="18"/>
  <c r="B364" i="18"/>
  <c r="H362" i="18"/>
  <c r="G362" i="18"/>
  <c r="F362" i="18"/>
  <c r="E362" i="18"/>
  <c r="D362" i="18" s="1"/>
  <c r="C362" i="18"/>
  <c r="B362" i="18"/>
  <c r="H361" i="18"/>
  <c r="G361" i="18"/>
  <c r="F361" i="18"/>
  <c r="E361" i="18"/>
  <c r="C361" i="18"/>
  <c r="B361" i="18"/>
  <c r="H360" i="18"/>
  <c r="G360" i="18"/>
  <c r="F360" i="18"/>
  <c r="E360" i="18"/>
  <c r="D360" i="18" s="1"/>
  <c r="Q360" i="18" s="1"/>
  <c r="C360" i="18"/>
  <c r="B360" i="18"/>
  <c r="H359" i="18"/>
  <c r="G359" i="18"/>
  <c r="F359" i="18"/>
  <c r="E359" i="18"/>
  <c r="C359" i="18"/>
  <c r="B359" i="18"/>
  <c r="H357" i="18"/>
  <c r="G357" i="18"/>
  <c r="F357" i="18"/>
  <c r="E357" i="18"/>
  <c r="C357" i="18"/>
  <c r="B357" i="18"/>
  <c r="H356" i="18"/>
  <c r="G356" i="18"/>
  <c r="D356" i="18" s="1"/>
  <c r="F356" i="18"/>
  <c r="E356" i="18"/>
  <c r="C356" i="18"/>
  <c r="B356" i="18"/>
  <c r="H355" i="18"/>
  <c r="G355" i="18"/>
  <c r="F355" i="18"/>
  <c r="E355" i="18"/>
  <c r="D355" i="18" s="1"/>
  <c r="C355" i="18"/>
  <c r="B355" i="18"/>
  <c r="H354" i="18"/>
  <c r="G354" i="18"/>
  <c r="F354" i="18"/>
  <c r="E354" i="18"/>
  <c r="D354" i="18" s="1"/>
  <c r="C354" i="18"/>
  <c r="B354" i="18"/>
  <c r="Q354" i="18" s="1"/>
  <c r="H352" i="18"/>
  <c r="G352" i="18"/>
  <c r="F352" i="18"/>
  <c r="E352" i="18"/>
  <c r="C352" i="18"/>
  <c r="B352" i="18"/>
  <c r="H351" i="18"/>
  <c r="G351" i="18"/>
  <c r="D351" i="18" s="1"/>
  <c r="Q351" i="18" s="1"/>
  <c r="F351" i="18"/>
  <c r="E351" i="18"/>
  <c r="C351" i="18"/>
  <c r="B351" i="18"/>
  <c r="H350" i="18"/>
  <c r="G350" i="18"/>
  <c r="F350" i="18"/>
  <c r="E350" i="18"/>
  <c r="D350" i="18" s="1"/>
  <c r="Q350" i="18" s="1"/>
  <c r="C350" i="18"/>
  <c r="B350" i="18"/>
  <c r="H349" i="18"/>
  <c r="G349" i="18"/>
  <c r="F349" i="18"/>
  <c r="E349" i="18"/>
  <c r="C349" i="18"/>
  <c r="B349" i="18"/>
  <c r="H336" i="18"/>
  <c r="G336" i="18"/>
  <c r="F336" i="18"/>
  <c r="E336" i="18"/>
  <c r="C336" i="18"/>
  <c r="B336" i="18"/>
  <c r="Q336" i="18" s="1"/>
  <c r="H335" i="18"/>
  <c r="G335" i="18"/>
  <c r="D335" i="18" s="1"/>
  <c r="F335" i="18"/>
  <c r="E335" i="18"/>
  <c r="C335" i="18"/>
  <c r="B335" i="18"/>
  <c r="H334" i="18"/>
  <c r="G334" i="18"/>
  <c r="F334" i="18"/>
  <c r="E334" i="18"/>
  <c r="D334" i="18" s="1"/>
  <c r="C334" i="18"/>
  <c r="B334" i="18"/>
  <c r="H333" i="18"/>
  <c r="G333" i="18"/>
  <c r="F333" i="18"/>
  <c r="E333" i="18"/>
  <c r="C333" i="18"/>
  <c r="B333" i="18"/>
  <c r="H331" i="18"/>
  <c r="G331" i="18"/>
  <c r="F331" i="18"/>
  <c r="E331" i="18"/>
  <c r="D331" i="18" s="1"/>
  <c r="Q331" i="18" s="1"/>
  <c r="C331" i="18"/>
  <c r="B331" i="18"/>
  <c r="H330" i="18"/>
  <c r="G330" i="18"/>
  <c r="D330" i="18" s="1"/>
  <c r="Q330" i="18" s="1"/>
  <c r="F330" i="18"/>
  <c r="E330" i="18"/>
  <c r="C330" i="18"/>
  <c r="B330" i="18"/>
  <c r="H329" i="18"/>
  <c r="G329" i="18"/>
  <c r="F329" i="18"/>
  <c r="E329" i="18"/>
  <c r="D329" i="18" s="1"/>
  <c r="Q329" i="18" s="1"/>
  <c r="C329" i="18"/>
  <c r="B329" i="18"/>
  <c r="H328" i="18"/>
  <c r="G328" i="18"/>
  <c r="F328" i="18"/>
  <c r="E328" i="18"/>
  <c r="D328" i="18" s="1"/>
  <c r="C328" i="18"/>
  <c r="B328" i="18"/>
  <c r="H326" i="18"/>
  <c r="G326" i="18"/>
  <c r="F326" i="18"/>
  <c r="E326" i="18"/>
  <c r="C326" i="18"/>
  <c r="B326" i="18"/>
  <c r="H325" i="18"/>
  <c r="G325" i="18"/>
  <c r="D325" i="18" s="1"/>
  <c r="F325" i="18"/>
  <c r="E325" i="18"/>
  <c r="C325" i="18"/>
  <c r="B325" i="18"/>
  <c r="H324" i="18"/>
  <c r="G324" i="18"/>
  <c r="F324" i="18"/>
  <c r="E324" i="18"/>
  <c r="C324" i="18"/>
  <c r="B324" i="18"/>
  <c r="H323" i="18"/>
  <c r="G323" i="18"/>
  <c r="F323" i="18"/>
  <c r="E323" i="18"/>
  <c r="C323" i="18"/>
  <c r="B323" i="18"/>
  <c r="H321" i="18"/>
  <c r="G321" i="18"/>
  <c r="F321" i="18"/>
  <c r="E321" i="18"/>
  <c r="C321" i="18"/>
  <c r="B321" i="18"/>
  <c r="H320" i="18"/>
  <c r="G320" i="18"/>
  <c r="F320" i="18"/>
  <c r="E320" i="18"/>
  <c r="C320" i="18"/>
  <c r="B320" i="18"/>
  <c r="H319" i="18"/>
  <c r="G319" i="18"/>
  <c r="F319" i="18"/>
  <c r="E319" i="18"/>
  <c r="D319" i="18" s="1"/>
  <c r="Q319" i="18" s="1"/>
  <c r="C319" i="18"/>
  <c r="B319" i="18"/>
  <c r="H318" i="18"/>
  <c r="G318" i="18"/>
  <c r="F318" i="18"/>
  <c r="E318" i="18"/>
  <c r="C318" i="18"/>
  <c r="B318" i="18"/>
  <c r="H305" i="18"/>
  <c r="G305" i="18"/>
  <c r="F305" i="18"/>
  <c r="E305" i="18"/>
  <c r="D305" i="18" s="1"/>
  <c r="C305" i="18"/>
  <c r="B305" i="18"/>
  <c r="Q305" i="18" s="1"/>
  <c r="H304" i="18"/>
  <c r="G304" i="18"/>
  <c r="D304" i="18" s="1"/>
  <c r="F304" i="18"/>
  <c r="E304" i="18"/>
  <c r="C304" i="18"/>
  <c r="B304" i="18"/>
  <c r="H303" i="18"/>
  <c r="G303" i="18"/>
  <c r="F303" i="18"/>
  <c r="E303" i="18"/>
  <c r="D303" i="18" s="1"/>
  <c r="C303" i="18"/>
  <c r="B303" i="18"/>
  <c r="H302" i="18"/>
  <c r="G302" i="18"/>
  <c r="F302" i="18"/>
  <c r="E302" i="18"/>
  <c r="C302" i="18"/>
  <c r="B302" i="18"/>
  <c r="H300" i="18"/>
  <c r="G300" i="18"/>
  <c r="F300" i="18"/>
  <c r="E300" i="18"/>
  <c r="D300" i="18" s="1"/>
  <c r="C300" i="18"/>
  <c r="B300" i="18"/>
  <c r="H299" i="18"/>
  <c r="G299" i="18"/>
  <c r="F299" i="18"/>
  <c r="E299" i="18"/>
  <c r="C299" i="18"/>
  <c r="B299" i="18"/>
  <c r="H298" i="18"/>
  <c r="G298" i="18"/>
  <c r="F298" i="18"/>
  <c r="E298" i="18"/>
  <c r="D298" i="18" s="1"/>
  <c r="C298" i="18"/>
  <c r="B298" i="18"/>
  <c r="H297" i="18"/>
  <c r="G297" i="18"/>
  <c r="F297" i="18"/>
  <c r="E297" i="18"/>
  <c r="D297" i="18" s="1"/>
  <c r="C297" i="18"/>
  <c r="B297" i="18"/>
  <c r="Q297" i="18" s="1"/>
  <c r="H295" i="18"/>
  <c r="G295" i="18"/>
  <c r="F295" i="18"/>
  <c r="E295" i="18"/>
  <c r="C295" i="18"/>
  <c r="B295" i="18"/>
  <c r="H294" i="18"/>
  <c r="G294" i="18"/>
  <c r="D294" i="18" s="1"/>
  <c r="Q294" i="18" s="1"/>
  <c r="F294" i="18"/>
  <c r="E294" i="18"/>
  <c r="C294" i="18"/>
  <c r="B294" i="18"/>
  <c r="H293" i="18"/>
  <c r="G293" i="18"/>
  <c r="F293" i="18"/>
  <c r="E293" i="18"/>
  <c r="D293" i="18" s="1"/>
  <c r="Q293" i="18" s="1"/>
  <c r="C293" i="18"/>
  <c r="B293" i="18"/>
  <c r="H292" i="18"/>
  <c r="G292" i="18"/>
  <c r="F292" i="18"/>
  <c r="E292" i="18"/>
  <c r="D292" i="18" s="1"/>
  <c r="C292" i="18"/>
  <c r="B292" i="18"/>
  <c r="Q292" i="18" s="1"/>
  <c r="H290" i="18"/>
  <c r="G290" i="18"/>
  <c r="F290" i="18"/>
  <c r="E290" i="18"/>
  <c r="C290" i="18"/>
  <c r="B290" i="18"/>
  <c r="H289" i="18"/>
  <c r="G289" i="18"/>
  <c r="D289" i="18" s="1"/>
  <c r="Q289" i="18" s="1"/>
  <c r="F289" i="18"/>
  <c r="E289" i="18"/>
  <c r="C289" i="18"/>
  <c r="B289" i="18"/>
  <c r="H288" i="18"/>
  <c r="G288" i="18"/>
  <c r="F288" i="18"/>
  <c r="E288" i="18"/>
  <c r="C288" i="18"/>
  <c r="B288" i="18"/>
  <c r="H287" i="18"/>
  <c r="G287" i="18"/>
  <c r="F287" i="18"/>
  <c r="E287" i="18"/>
  <c r="C287" i="18"/>
  <c r="B287" i="18"/>
  <c r="H274" i="18"/>
  <c r="G274" i="18"/>
  <c r="F274" i="18"/>
  <c r="E274" i="18"/>
  <c r="C274" i="18"/>
  <c r="B274" i="18"/>
  <c r="H273" i="18"/>
  <c r="G273" i="18"/>
  <c r="F273" i="18"/>
  <c r="E273" i="18"/>
  <c r="C273" i="18"/>
  <c r="B273" i="18"/>
  <c r="H272" i="18"/>
  <c r="G272" i="18"/>
  <c r="F272" i="18"/>
  <c r="E272" i="18"/>
  <c r="C272" i="18"/>
  <c r="B272" i="18"/>
  <c r="H271" i="18"/>
  <c r="G271" i="18"/>
  <c r="F271" i="18"/>
  <c r="E271" i="18"/>
  <c r="C271" i="18"/>
  <c r="B271" i="18"/>
  <c r="H269" i="18"/>
  <c r="G269" i="18"/>
  <c r="F269" i="18"/>
  <c r="E269" i="18"/>
  <c r="D269" i="18" s="1"/>
  <c r="C269" i="18"/>
  <c r="B269" i="18"/>
  <c r="Q269" i="18" s="1"/>
  <c r="H268" i="18"/>
  <c r="G268" i="18"/>
  <c r="D268" i="18" s="1"/>
  <c r="F268" i="18"/>
  <c r="E268" i="18"/>
  <c r="C268" i="18"/>
  <c r="B268" i="18"/>
  <c r="H267" i="18"/>
  <c r="G267" i="18"/>
  <c r="F267" i="18"/>
  <c r="E267" i="18"/>
  <c r="D267" i="18" s="1"/>
  <c r="C267" i="18"/>
  <c r="B267" i="18"/>
  <c r="H266" i="18"/>
  <c r="G266" i="18"/>
  <c r="F266" i="18"/>
  <c r="E266" i="18"/>
  <c r="C266" i="18"/>
  <c r="B266" i="18"/>
  <c r="H264" i="18"/>
  <c r="G264" i="18"/>
  <c r="F264" i="18"/>
  <c r="E264" i="18"/>
  <c r="C264" i="18"/>
  <c r="B264" i="18"/>
  <c r="H263" i="18"/>
  <c r="G263" i="18"/>
  <c r="F263" i="18"/>
  <c r="E263" i="18"/>
  <c r="C263" i="18"/>
  <c r="B263" i="18"/>
  <c r="H262" i="18"/>
  <c r="G262" i="18"/>
  <c r="F262" i="18"/>
  <c r="E262" i="18"/>
  <c r="D262" i="18" s="1"/>
  <c r="C262" i="18"/>
  <c r="B262" i="18"/>
  <c r="H261" i="18"/>
  <c r="G261" i="18"/>
  <c r="F261" i="18"/>
  <c r="E261" i="18"/>
  <c r="D261" i="18" s="1"/>
  <c r="C261" i="18"/>
  <c r="B261" i="18"/>
  <c r="H259" i="18"/>
  <c r="G259" i="18"/>
  <c r="F259" i="18"/>
  <c r="E259" i="18"/>
  <c r="C259" i="18"/>
  <c r="B259" i="18"/>
  <c r="Q259" i="18" s="1"/>
  <c r="H258" i="18"/>
  <c r="G258" i="18"/>
  <c r="D258" i="18" s="1"/>
  <c r="Q258" i="18" s="1"/>
  <c r="F258" i="18"/>
  <c r="E258" i="18"/>
  <c r="C258" i="18"/>
  <c r="B258" i="18"/>
  <c r="H257" i="18"/>
  <c r="G257" i="18"/>
  <c r="F257" i="18"/>
  <c r="E257" i="18"/>
  <c r="D257" i="18" s="1"/>
  <c r="C257" i="18"/>
  <c r="B257" i="18"/>
  <c r="H256" i="18"/>
  <c r="G256" i="18"/>
  <c r="F256" i="18"/>
  <c r="E256" i="18"/>
  <c r="D256" i="18" s="1"/>
  <c r="C256" i="18"/>
  <c r="B256" i="18"/>
  <c r="Q256" i="18" s="1"/>
  <c r="H243" i="18"/>
  <c r="G243" i="18"/>
  <c r="F243" i="18"/>
  <c r="E243" i="18"/>
  <c r="C243" i="18"/>
  <c r="B243" i="18"/>
  <c r="H242" i="18"/>
  <c r="G242" i="18"/>
  <c r="D242" i="18" s="1"/>
  <c r="F242" i="18"/>
  <c r="E242" i="18"/>
  <c r="C242" i="18"/>
  <c r="B242" i="18"/>
  <c r="H241" i="18"/>
  <c r="G241" i="18"/>
  <c r="F241" i="18"/>
  <c r="E241" i="18"/>
  <c r="D241" i="18" s="1"/>
  <c r="Q241" i="18" s="1"/>
  <c r="C241" i="18"/>
  <c r="B241" i="18"/>
  <c r="H240" i="18"/>
  <c r="G240" i="18"/>
  <c r="F240" i="18"/>
  <c r="E240" i="18"/>
  <c r="D240" i="18" s="1"/>
  <c r="C240" i="18"/>
  <c r="B240" i="18"/>
  <c r="H238" i="18"/>
  <c r="G238" i="18"/>
  <c r="F238" i="18"/>
  <c r="E238" i="18"/>
  <c r="C238" i="18"/>
  <c r="B238" i="18"/>
  <c r="Q238" i="18" s="1"/>
  <c r="H237" i="18"/>
  <c r="G237" i="18"/>
  <c r="F237" i="18"/>
  <c r="E237" i="18"/>
  <c r="C237" i="18"/>
  <c r="B237" i="18"/>
  <c r="H236" i="18"/>
  <c r="G236" i="18"/>
  <c r="F236" i="18"/>
  <c r="E236" i="18"/>
  <c r="D236" i="18" s="1"/>
  <c r="Q236" i="18" s="1"/>
  <c r="C236" i="18"/>
  <c r="B236" i="18"/>
  <c r="H235" i="18"/>
  <c r="G235" i="18"/>
  <c r="F235" i="18"/>
  <c r="E235" i="18"/>
  <c r="C235" i="18"/>
  <c r="B235" i="18"/>
  <c r="H233" i="18"/>
  <c r="G233" i="18"/>
  <c r="F233" i="18"/>
  <c r="E233" i="18"/>
  <c r="D233" i="18" s="1"/>
  <c r="C233" i="18"/>
  <c r="B233" i="18"/>
  <c r="H232" i="18"/>
  <c r="G232" i="18"/>
  <c r="D232" i="18" s="1"/>
  <c r="F232" i="18"/>
  <c r="E232" i="18"/>
  <c r="C232" i="18"/>
  <c r="B232" i="18"/>
  <c r="H231" i="18"/>
  <c r="G231" i="18"/>
  <c r="F231" i="18"/>
  <c r="E231" i="18"/>
  <c r="D231" i="18" s="1"/>
  <c r="C231" i="18"/>
  <c r="B231" i="18"/>
  <c r="H230" i="18"/>
  <c r="G230" i="18"/>
  <c r="F230" i="18"/>
  <c r="E230" i="18"/>
  <c r="C230" i="18"/>
  <c r="B230" i="18"/>
  <c r="H228" i="18"/>
  <c r="G228" i="18"/>
  <c r="F228" i="18"/>
  <c r="E228" i="18"/>
  <c r="C228" i="18"/>
  <c r="B228" i="18"/>
  <c r="H227" i="18"/>
  <c r="G227" i="18"/>
  <c r="D227" i="18" s="1"/>
  <c r="F227" i="18"/>
  <c r="E227" i="18"/>
  <c r="C227" i="18"/>
  <c r="B227" i="18"/>
  <c r="H226" i="18"/>
  <c r="G226" i="18"/>
  <c r="F226" i="18"/>
  <c r="E226" i="18"/>
  <c r="D226" i="18" s="1"/>
  <c r="Q226" i="18" s="1"/>
  <c r="C226" i="18"/>
  <c r="B226" i="18"/>
  <c r="H225" i="18"/>
  <c r="G225" i="18"/>
  <c r="F225" i="18"/>
  <c r="E225" i="18"/>
  <c r="D225" i="18" s="1"/>
  <c r="C225" i="18"/>
  <c r="B225" i="18"/>
  <c r="P212" i="18"/>
  <c r="O212" i="18"/>
  <c r="N212" i="18"/>
  <c r="M212" i="18"/>
  <c r="K212" i="18"/>
  <c r="J212" i="18"/>
  <c r="H212" i="18"/>
  <c r="G212" i="18"/>
  <c r="D212" i="18" s="1"/>
  <c r="Q212" i="18" s="1"/>
  <c r="F212" i="18"/>
  <c r="E212" i="18"/>
  <c r="C212" i="18"/>
  <c r="B212" i="18"/>
  <c r="P211" i="18"/>
  <c r="O211" i="18"/>
  <c r="N211" i="18"/>
  <c r="M211" i="18"/>
  <c r="K211" i="18"/>
  <c r="J211" i="18"/>
  <c r="H211" i="18"/>
  <c r="G211" i="18"/>
  <c r="F211" i="18"/>
  <c r="E211" i="18"/>
  <c r="C211" i="18"/>
  <c r="B211" i="18"/>
  <c r="P210" i="18"/>
  <c r="O210" i="18"/>
  <c r="N210" i="18"/>
  <c r="M210" i="18"/>
  <c r="K210" i="18"/>
  <c r="J210" i="18"/>
  <c r="H210" i="18"/>
  <c r="G210" i="18"/>
  <c r="D210" i="18" s="1"/>
  <c r="Q210" i="18" s="1"/>
  <c r="F210" i="18"/>
  <c r="E210" i="18"/>
  <c r="C210" i="18"/>
  <c r="B210" i="18"/>
  <c r="P209" i="18"/>
  <c r="O209" i="18"/>
  <c r="N209" i="18"/>
  <c r="M209" i="18"/>
  <c r="L209" i="18" s="1"/>
  <c r="K209" i="18"/>
  <c r="J209" i="18"/>
  <c r="H209" i="18"/>
  <c r="G209" i="18"/>
  <c r="F209" i="18"/>
  <c r="E209" i="18"/>
  <c r="D209" i="18" s="1"/>
  <c r="C209" i="18"/>
  <c r="B209" i="18"/>
  <c r="Q209" i="18" s="1"/>
  <c r="P207" i="18"/>
  <c r="O207" i="18"/>
  <c r="N207" i="18"/>
  <c r="M207" i="18"/>
  <c r="K207" i="18"/>
  <c r="J207" i="18"/>
  <c r="H207" i="18"/>
  <c r="G207" i="18"/>
  <c r="F207" i="18"/>
  <c r="E207" i="18"/>
  <c r="C207" i="18"/>
  <c r="B207" i="18"/>
  <c r="P206" i="18"/>
  <c r="O206" i="18"/>
  <c r="N206" i="18"/>
  <c r="M206" i="18"/>
  <c r="L206" i="18" s="1"/>
  <c r="K206" i="18"/>
  <c r="J206" i="18"/>
  <c r="H206" i="18"/>
  <c r="G206" i="18"/>
  <c r="F206" i="18"/>
  <c r="E206" i="18"/>
  <c r="D206" i="18" s="1"/>
  <c r="C206" i="18"/>
  <c r="B206" i="18"/>
  <c r="P205" i="18"/>
  <c r="O205" i="18"/>
  <c r="N205" i="18"/>
  <c r="M205" i="18"/>
  <c r="K205" i="18"/>
  <c r="J205" i="18"/>
  <c r="H205" i="18"/>
  <c r="G205" i="18"/>
  <c r="D205" i="18" s="1"/>
  <c r="F205" i="18"/>
  <c r="E205" i="18"/>
  <c r="C205" i="18"/>
  <c r="B205" i="18"/>
  <c r="P204" i="18"/>
  <c r="O204" i="18"/>
  <c r="N204" i="18"/>
  <c r="M204" i="18"/>
  <c r="L204" i="18" s="1"/>
  <c r="R204" i="18" s="1"/>
  <c r="K204" i="18"/>
  <c r="J204" i="18"/>
  <c r="H204" i="18"/>
  <c r="G204" i="18"/>
  <c r="F204" i="18"/>
  <c r="E204" i="18"/>
  <c r="C204" i="18"/>
  <c r="B204" i="18"/>
  <c r="P202" i="18"/>
  <c r="O202" i="18"/>
  <c r="N202" i="18"/>
  <c r="M202" i="18"/>
  <c r="K202" i="18"/>
  <c r="J202" i="18"/>
  <c r="H202" i="18"/>
  <c r="G202" i="18"/>
  <c r="D202" i="18" s="1"/>
  <c r="F202" i="18"/>
  <c r="E202" i="18"/>
  <c r="C202" i="18"/>
  <c r="B202" i="18"/>
  <c r="P201" i="18"/>
  <c r="O201" i="18"/>
  <c r="N201" i="18"/>
  <c r="M201" i="18"/>
  <c r="L201" i="18" s="1"/>
  <c r="K201" i="18"/>
  <c r="J201" i="18"/>
  <c r="H201" i="18"/>
  <c r="G201" i="18"/>
  <c r="F201" i="18"/>
  <c r="E201" i="18"/>
  <c r="D201" i="18" s="1"/>
  <c r="C201" i="18"/>
  <c r="B201" i="18"/>
  <c r="P200" i="18"/>
  <c r="O200" i="18"/>
  <c r="N200" i="18"/>
  <c r="M200" i="18"/>
  <c r="K200" i="18"/>
  <c r="J200" i="18"/>
  <c r="H200" i="18"/>
  <c r="G200" i="18"/>
  <c r="D200" i="18" s="1"/>
  <c r="Q200" i="18" s="1"/>
  <c r="F200" i="18"/>
  <c r="E200" i="18"/>
  <c r="C200" i="18"/>
  <c r="B200" i="18"/>
  <c r="P199" i="18"/>
  <c r="O199" i="18"/>
  <c r="N199" i="18"/>
  <c r="M199" i="18"/>
  <c r="L199" i="18" s="1"/>
  <c r="K199" i="18"/>
  <c r="J199" i="18"/>
  <c r="H199" i="18"/>
  <c r="G199" i="18"/>
  <c r="F199" i="18"/>
  <c r="E199" i="18"/>
  <c r="D199" i="18" s="1"/>
  <c r="C199" i="18"/>
  <c r="B199" i="18"/>
  <c r="Q199" i="18" s="1"/>
  <c r="P197" i="18"/>
  <c r="O197" i="18"/>
  <c r="N197" i="18"/>
  <c r="M197" i="18"/>
  <c r="K197" i="18"/>
  <c r="J197" i="18"/>
  <c r="H197" i="18"/>
  <c r="G197" i="18"/>
  <c r="F197" i="18"/>
  <c r="E197" i="18"/>
  <c r="C197" i="18"/>
  <c r="B197" i="18"/>
  <c r="P196" i="18"/>
  <c r="O196" i="18"/>
  <c r="N196" i="18"/>
  <c r="M196" i="18"/>
  <c r="L196" i="18" s="1"/>
  <c r="K196" i="18"/>
  <c r="J196" i="18"/>
  <c r="H196" i="18"/>
  <c r="G196" i="18"/>
  <c r="F196" i="18"/>
  <c r="E196" i="18"/>
  <c r="C196" i="18"/>
  <c r="B196" i="18"/>
  <c r="P195" i="18"/>
  <c r="O195" i="18"/>
  <c r="N195" i="18"/>
  <c r="M195" i="18"/>
  <c r="K195" i="18"/>
  <c r="J195" i="18"/>
  <c r="H195" i="18"/>
  <c r="G195" i="18"/>
  <c r="D195" i="18" s="1"/>
  <c r="F195" i="18"/>
  <c r="E195" i="18"/>
  <c r="C195" i="18"/>
  <c r="B195" i="18"/>
  <c r="P194" i="18"/>
  <c r="O194" i="18"/>
  <c r="N194" i="18"/>
  <c r="M194" i="18"/>
  <c r="L194" i="18" s="1"/>
  <c r="K194" i="18"/>
  <c r="J194" i="18"/>
  <c r="H194" i="18"/>
  <c r="G194" i="18"/>
  <c r="F194" i="18"/>
  <c r="E194" i="18"/>
  <c r="C194" i="18"/>
  <c r="B194" i="18"/>
  <c r="P182" i="18"/>
  <c r="O182" i="18"/>
  <c r="N182" i="18"/>
  <c r="M182" i="18"/>
  <c r="L182" i="18" s="1"/>
  <c r="K182" i="18"/>
  <c r="J182" i="18"/>
  <c r="H182" i="18"/>
  <c r="G182" i="18"/>
  <c r="D182" i="18" s="1"/>
  <c r="Q182" i="18" s="1"/>
  <c r="F182" i="18"/>
  <c r="E182" i="18"/>
  <c r="C182" i="18"/>
  <c r="B182" i="18"/>
  <c r="P181" i="18"/>
  <c r="O181" i="18"/>
  <c r="N181" i="18"/>
  <c r="M181" i="18"/>
  <c r="L181" i="18" s="1"/>
  <c r="R181" i="18" s="1"/>
  <c r="K181" i="18"/>
  <c r="J181" i="18"/>
  <c r="H181" i="18"/>
  <c r="G181" i="18"/>
  <c r="F181" i="18"/>
  <c r="E181" i="18"/>
  <c r="D181" i="18" s="1"/>
  <c r="C181" i="18"/>
  <c r="B181" i="18"/>
  <c r="Q181" i="18" s="1"/>
  <c r="P180" i="18"/>
  <c r="O180" i="18"/>
  <c r="N180" i="18"/>
  <c r="M180" i="18"/>
  <c r="K180" i="18"/>
  <c r="J180" i="18"/>
  <c r="H180" i="18"/>
  <c r="G180" i="18"/>
  <c r="D180" i="18" s="1"/>
  <c r="Q180" i="18" s="1"/>
  <c r="F180" i="18"/>
  <c r="E180" i="18"/>
  <c r="C180" i="18"/>
  <c r="B180" i="18"/>
  <c r="P179" i="18"/>
  <c r="O179" i="18"/>
  <c r="N179" i="18"/>
  <c r="M179" i="18"/>
  <c r="L179" i="18" s="1"/>
  <c r="K179" i="18"/>
  <c r="J179" i="18"/>
  <c r="H179" i="18"/>
  <c r="G179" i="18"/>
  <c r="F179" i="18"/>
  <c r="E179" i="18"/>
  <c r="D179" i="18" s="1"/>
  <c r="C179" i="18"/>
  <c r="B179" i="18"/>
  <c r="P177" i="18"/>
  <c r="O177" i="18"/>
  <c r="N177" i="18"/>
  <c r="M177" i="18"/>
  <c r="K177" i="18"/>
  <c r="J177" i="18"/>
  <c r="R177" i="18" s="1"/>
  <c r="H177" i="18"/>
  <c r="G177" i="18"/>
  <c r="D177" i="18" s="1"/>
  <c r="F177" i="18"/>
  <c r="E177" i="18"/>
  <c r="C177" i="18"/>
  <c r="B177" i="18"/>
  <c r="P176" i="18"/>
  <c r="O176" i="18"/>
  <c r="N176" i="18"/>
  <c r="M176" i="18"/>
  <c r="L176" i="18" s="1"/>
  <c r="K176" i="18"/>
  <c r="J176" i="18"/>
  <c r="H176" i="18"/>
  <c r="G176" i="18"/>
  <c r="F176" i="18"/>
  <c r="E176" i="18"/>
  <c r="C176" i="18"/>
  <c r="B176" i="18"/>
  <c r="P175" i="18"/>
  <c r="O175" i="18"/>
  <c r="N175" i="18"/>
  <c r="M175" i="18"/>
  <c r="L175" i="18" s="1"/>
  <c r="K175" i="18"/>
  <c r="J175" i="18"/>
  <c r="R175" i="18" s="1"/>
  <c r="H175" i="18"/>
  <c r="G175" i="18"/>
  <c r="D175" i="18" s="1"/>
  <c r="F175" i="18"/>
  <c r="E175" i="18"/>
  <c r="C175" i="18"/>
  <c r="B175" i="18"/>
  <c r="P174" i="18"/>
  <c r="O174" i="18"/>
  <c r="N174" i="18"/>
  <c r="M174" i="18"/>
  <c r="L174" i="18" s="1"/>
  <c r="R174" i="18" s="1"/>
  <c r="K174" i="18"/>
  <c r="J174" i="18"/>
  <c r="H174" i="18"/>
  <c r="G174" i="18"/>
  <c r="F174" i="18"/>
  <c r="E174" i="18"/>
  <c r="C174" i="18"/>
  <c r="B174" i="18"/>
  <c r="P172" i="18"/>
  <c r="O172" i="18"/>
  <c r="N172" i="18"/>
  <c r="M172" i="18"/>
  <c r="K172" i="18"/>
  <c r="J172" i="18"/>
  <c r="H172" i="18"/>
  <c r="G172" i="18"/>
  <c r="F172" i="18"/>
  <c r="E172" i="18"/>
  <c r="C172" i="18"/>
  <c r="B172" i="18"/>
  <c r="P171" i="18"/>
  <c r="O171" i="18"/>
  <c r="N171" i="18"/>
  <c r="M171" i="18"/>
  <c r="L171" i="18" s="1"/>
  <c r="R171" i="18" s="1"/>
  <c r="K171" i="18"/>
  <c r="J171" i="18"/>
  <c r="H171" i="18"/>
  <c r="G171" i="18"/>
  <c r="F171" i="18"/>
  <c r="E171" i="18"/>
  <c r="C171" i="18"/>
  <c r="B171" i="18"/>
  <c r="P170" i="18"/>
  <c r="O170" i="18"/>
  <c r="N170" i="18"/>
  <c r="M170" i="18"/>
  <c r="K170" i="18"/>
  <c r="J170" i="18"/>
  <c r="H170" i="18"/>
  <c r="G170" i="18"/>
  <c r="D170" i="18" s="1"/>
  <c r="Q170" i="18" s="1"/>
  <c r="F170" i="18"/>
  <c r="E170" i="18"/>
  <c r="C170" i="18"/>
  <c r="B170" i="18"/>
  <c r="P169" i="18"/>
  <c r="O169" i="18"/>
  <c r="N169" i="18"/>
  <c r="M169" i="18"/>
  <c r="L169" i="18" s="1"/>
  <c r="K169" i="18"/>
  <c r="J169" i="18"/>
  <c r="H169" i="18"/>
  <c r="G169" i="18"/>
  <c r="F169" i="18"/>
  <c r="E169" i="18"/>
  <c r="C169" i="18"/>
  <c r="B169" i="18"/>
  <c r="Q169" i="18" s="1"/>
  <c r="P167" i="18"/>
  <c r="O167" i="18"/>
  <c r="N167" i="18"/>
  <c r="M167" i="18"/>
  <c r="L167" i="18" s="1"/>
  <c r="R167" i="18" s="1"/>
  <c r="K167" i="18"/>
  <c r="J167" i="18"/>
  <c r="H167" i="18"/>
  <c r="G167" i="18"/>
  <c r="F167" i="18"/>
  <c r="E167" i="18"/>
  <c r="C167" i="18"/>
  <c r="B167" i="18"/>
  <c r="P166" i="18"/>
  <c r="O166" i="18"/>
  <c r="N166" i="18"/>
  <c r="M166" i="18"/>
  <c r="L166" i="18" s="1"/>
  <c r="R166" i="18" s="1"/>
  <c r="K166" i="18"/>
  <c r="J166" i="18"/>
  <c r="H166" i="18"/>
  <c r="G166" i="18"/>
  <c r="F166" i="18"/>
  <c r="E166" i="18"/>
  <c r="D166" i="18" s="1"/>
  <c r="C166" i="18"/>
  <c r="B166" i="18"/>
  <c r="P165" i="18"/>
  <c r="O165" i="18"/>
  <c r="N165" i="18"/>
  <c r="M165" i="18"/>
  <c r="K165" i="18"/>
  <c r="J165" i="18"/>
  <c r="H165" i="18"/>
  <c r="G165" i="18"/>
  <c r="D165" i="18" s="1"/>
  <c r="F165" i="18"/>
  <c r="E165" i="18"/>
  <c r="C165" i="18"/>
  <c r="B165" i="18"/>
  <c r="P164" i="18"/>
  <c r="O164" i="18"/>
  <c r="N164" i="18"/>
  <c r="M164" i="18"/>
  <c r="L164" i="18" s="1"/>
  <c r="R164" i="18" s="1"/>
  <c r="K164" i="18"/>
  <c r="J164" i="18"/>
  <c r="H164" i="18"/>
  <c r="G164" i="18"/>
  <c r="F164" i="18"/>
  <c r="E164" i="18"/>
  <c r="C164" i="18"/>
  <c r="B164" i="18"/>
  <c r="P151" i="18"/>
  <c r="O151" i="18"/>
  <c r="N151" i="18"/>
  <c r="M151" i="18"/>
  <c r="K151" i="18"/>
  <c r="J151" i="18"/>
  <c r="H151" i="18"/>
  <c r="G151" i="18"/>
  <c r="D151" i="18" s="1"/>
  <c r="Q151" i="18" s="1"/>
  <c r="F151" i="18"/>
  <c r="E151" i="18"/>
  <c r="C151" i="18"/>
  <c r="B151" i="18"/>
  <c r="P150" i="18"/>
  <c r="O150" i="18"/>
  <c r="N150" i="18"/>
  <c r="M150" i="18"/>
  <c r="L150" i="18" s="1"/>
  <c r="R150" i="18" s="1"/>
  <c r="K150" i="18"/>
  <c r="J150" i="18"/>
  <c r="H150" i="18"/>
  <c r="G150" i="18"/>
  <c r="F150" i="18"/>
  <c r="E150" i="18"/>
  <c r="D150" i="18" s="1"/>
  <c r="C150" i="18"/>
  <c r="B150" i="18"/>
  <c r="P149" i="18"/>
  <c r="O149" i="18"/>
  <c r="N149" i="18"/>
  <c r="M149" i="18"/>
  <c r="K149" i="18"/>
  <c r="J149" i="18"/>
  <c r="H149" i="18"/>
  <c r="G149" i="18"/>
  <c r="D149" i="18" s="1"/>
  <c r="Q149" i="18" s="1"/>
  <c r="F149" i="18"/>
  <c r="E149" i="18"/>
  <c r="C149" i="18"/>
  <c r="B149" i="18"/>
  <c r="P148" i="18"/>
  <c r="O148" i="18"/>
  <c r="N148" i="18"/>
  <c r="M148" i="18"/>
  <c r="K148" i="18"/>
  <c r="J148" i="18"/>
  <c r="H148" i="18"/>
  <c r="G148" i="18"/>
  <c r="F148" i="18"/>
  <c r="E148" i="18"/>
  <c r="C148" i="18"/>
  <c r="B148" i="18"/>
  <c r="P146" i="18"/>
  <c r="O146" i="18"/>
  <c r="N146" i="18"/>
  <c r="M146" i="18"/>
  <c r="K146" i="18"/>
  <c r="J146" i="18"/>
  <c r="H146" i="18"/>
  <c r="G146" i="18"/>
  <c r="D146" i="18" s="1"/>
  <c r="F146" i="18"/>
  <c r="E146" i="18"/>
  <c r="C146" i="18"/>
  <c r="B146" i="18"/>
  <c r="P145" i="18"/>
  <c r="O145" i="18"/>
  <c r="N145" i="18"/>
  <c r="M145" i="18"/>
  <c r="K145" i="18"/>
  <c r="J145" i="18"/>
  <c r="H145" i="18"/>
  <c r="G145" i="18"/>
  <c r="F145" i="18"/>
  <c r="E145" i="18"/>
  <c r="D145" i="18" s="1"/>
  <c r="C145" i="18"/>
  <c r="B145" i="18"/>
  <c r="P144" i="18"/>
  <c r="O144" i="18"/>
  <c r="N144" i="18"/>
  <c r="M144" i="18"/>
  <c r="K144" i="18"/>
  <c r="J144" i="18"/>
  <c r="H144" i="18"/>
  <c r="G144" i="18"/>
  <c r="F144" i="18"/>
  <c r="E144" i="18"/>
  <c r="C144" i="18"/>
  <c r="B144" i="18"/>
  <c r="P143" i="18"/>
  <c r="O143" i="18"/>
  <c r="N143" i="18"/>
  <c r="M143" i="18"/>
  <c r="L143" i="18" s="1"/>
  <c r="R143" i="18" s="1"/>
  <c r="K143" i="18"/>
  <c r="J143" i="18"/>
  <c r="H143" i="18"/>
  <c r="G143" i="18"/>
  <c r="F143" i="18"/>
  <c r="E143" i="18"/>
  <c r="C143" i="18"/>
  <c r="B143" i="18"/>
  <c r="P141" i="18"/>
  <c r="O141" i="18"/>
  <c r="N141" i="18"/>
  <c r="M141" i="18"/>
  <c r="K141" i="18"/>
  <c r="J141" i="18"/>
  <c r="H141" i="18"/>
  <c r="G141" i="18"/>
  <c r="D141" i="18" s="1"/>
  <c r="F141" i="18"/>
  <c r="E141" i="18"/>
  <c r="C141" i="18"/>
  <c r="B141" i="18"/>
  <c r="P140" i="18"/>
  <c r="O140" i="18"/>
  <c r="N140" i="18"/>
  <c r="M140" i="18"/>
  <c r="L140" i="18" s="1"/>
  <c r="K140" i="18"/>
  <c r="J140" i="18"/>
  <c r="H140" i="18"/>
  <c r="G140" i="18"/>
  <c r="F140" i="18"/>
  <c r="E140" i="18"/>
  <c r="D140" i="18" s="1"/>
  <c r="C140" i="18"/>
  <c r="B140" i="18"/>
  <c r="Q140" i="18" s="1"/>
  <c r="P139" i="18"/>
  <c r="O139" i="18"/>
  <c r="N139" i="18"/>
  <c r="M139" i="18"/>
  <c r="K139" i="18"/>
  <c r="J139" i="18"/>
  <c r="H139" i="18"/>
  <c r="G139" i="18"/>
  <c r="D139" i="18" s="1"/>
  <c r="F139" i="18"/>
  <c r="E139" i="18"/>
  <c r="C139" i="18"/>
  <c r="B139" i="18"/>
  <c r="P138" i="18"/>
  <c r="O138" i="18"/>
  <c r="N138" i="18"/>
  <c r="M138" i="18"/>
  <c r="L138" i="18" s="1"/>
  <c r="R138" i="18" s="1"/>
  <c r="K138" i="18"/>
  <c r="J138" i="18"/>
  <c r="H138" i="18"/>
  <c r="G138" i="18"/>
  <c r="F138" i="18"/>
  <c r="E138" i="18"/>
  <c r="D138" i="18" s="1"/>
  <c r="C138" i="18"/>
  <c r="B138" i="18"/>
  <c r="P136" i="18"/>
  <c r="O136" i="18"/>
  <c r="N136" i="18"/>
  <c r="M136" i="18"/>
  <c r="K136" i="18"/>
  <c r="J136" i="18"/>
  <c r="H136" i="18"/>
  <c r="G136" i="18"/>
  <c r="D136" i="18" s="1"/>
  <c r="F136" i="18"/>
  <c r="E136" i="18"/>
  <c r="C136" i="18"/>
  <c r="B136" i="18"/>
  <c r="P135" i="18"/>
  <c r="O135" i="18"/>
  <c r="N135" i="18"/>
  <c r="M135" i="18"/>
  <c r="L135" i="18" s="1"/>
  <c r="K135" i="18"/>
  <c r="J135" i="18"/>
  <c r="H135" i="18"/>
  <c r="G135" i="18"/>
  <c r="F135" i="18"/>
  <c r="E135" i="18"/>
  <c r="C135" i="18"/>
  <c r="B135" i="18"/>
  <c r="P134" i="18"/>
  <c r="O134" i="18"/>
  <c r="N134" i="18"/>
  <c r="M134" i="18"/>
  <c r="L134" i="18" s="1"/>
  <c r="K134" i="18"/>
  <c r="J134" i="18"/>
  <c r="R134" i="18" s="1"/>
  <c r="H134" i="18"/>
  <c r="G134" i="18"/>
  <c r="D134" i="18" s="1"/>
  <c r="F134" i="18"/>
  <c r="E134" i="18"/>
  <c r="C134" i="18"/>
  <c r="B134" i="18"/>
  <c r="P133" i="18"/>
  <c r="O133" i="18"/>
  <c r="N133" i="18"/>
  <c r="M133" i="18"/>
  <c r="L133" i="18" s="1"/>
  <c r="R133" i="18" s="1"/>
  <c r="K133" i="18"/>
  <c r="J133" i="18"/>
  <c r="H133" i="18"/>
  <c r="G133" i="18"/>
  <c r="F133" i="18"/>
  <c r="E133" i="18"/>
  <c r="C133" i="18"/>
  <c r="B133" i="18"/>
  <c r="P120" i="18"/>
  <c r="O120" i="18"/>
  <c r="N120" i="18"/>
  <c r="M120" i="18"/>
  <c r="K120" i="18"/>
  <c r="J120" i="18"/>
  <c r="H120" i="18"/>
  <c r="G120" i="18"/>
  <c r="D120" i="18" s="1"/>
  <c r="F120" i="18"/>
  <c r="E120" i="18"/>
  <c r="C120" i="18"/>
  <c r="B120" i="18"/>
  <c r="P119" i="18"/>
  <c r="O119" i="18"/>
  <c r="N119" i="18"/>
  <c r="M119" i="18"/>
  <c r="L119" i="18" s="1"/>
  <c r="K119" i="18"/>
  <c r="J119" i="18"/>
  <c r="H119" i="18"/>
  <c r="G119" i="18"/>
  <c r="F119" i="18"/>
  <c r="E119" i="18"/>
  <c r="C119" i="18"/>
  <c r="B119" i="18"/>
  <c r="P118" i="18"/>
  <c r="O118" i="18"/>
  <c r="N118" i="18"/>
  <c r="M118" i="18"/>
  <c r="L118" i="18" s="1"/>
  <c r="K118" i="18"/>
  <c r="J118" i="18"/>
  <c r="R118" i="18" s="1"/>
  <c r="H118" i="18"/>
  <c r="G118" i="18"/>
  <c r="D118" i="18" s="1"/>
  <c r="F118" i="18"/>
  <c r="E118" i="18"/>
  <c r="C118" i="18"/>
  <c r="B118" i="18"/>
  <c r="P117" i="18"/>
  <c r="O117" i="18"/>
  <c r="N117" i="18"/>
  <c r="M117" i="18"/>
  <c r="L117" i="18" s="1"/>
  <c r="R117" i="18" s="1"/>
  <c r="K117" i="18"/>
  <c r="J117" i="18"/>
  <c r="H117" i="18"/>
  <c r="G117" i="18"/>
  <c r="F117" i="18"/>
  <c r="E117" i="18"/>
  <c r="C117" i="18"/>
  <c r="B117" i="18"/>
  <c r="P115" i="18"/>
  <c r="O115" i="18"/>
  <c r="N115" i="18"/>
  <c r="M115" i="18"/>
  <c r="K115" i="18"/>
  <c r="J115" i="18"/>
  <c r="H115" i="18"/>
  <c r="G115" i="18"/>
  <c r="D115" i="18" s="1"/>
  <c r="Q115" i="18" s="1"/>
  <c r="F115" i="18"/>
  <c r="E115" i="18"/>
  <c r="C115" i="18"/>
  <c r="B115" i="18"/>
  <c r="P114" i="18"/>
  <c r="O114" i="18"/>
  <c r="N114" i="18"/>
  <c r="M114" i="18"/>
  <c r="L114" i="18" s="1"/>
  <c r="R114" i="18" s="1"/>
  <c r="K114" i="18"/>
  <c r="J114" i="18"/>
  <c r="H114" i="18"/>
  <c r="G114" i="18"/>
  <c r="F114" i="18"/>
  <c r="E114" i="18"/>
  <c r="D114" i="18" s="1"/>
  <c r="C114" i="18"/>
  <c r="B114" i="18"/>
  <c r="P113" i="18"/>
  <c r="O113" i="18"/>
  <c r="N113" i="18"/>
  <c r="M113" i="18"/>
  <c r="K113" i="18"/>
  <c r="J113" i="18"/>
  <c r="H113" i="18"/>
  <c r="G113" i="18"/>
  <c r="D113" i="18" s="1"/>
  <c r="Q113" i="18" s="1"/>
  <c r="F113" i="18"/>
  <c r="E113" i="18"/>
  <c r="C113" i="18"/>
  <c r="B113" i="18"/>
  <c r="P112" i="18"/>
  <c r="O112" i="18"/>
  <c r="N112" i="18"/>
  <c r="M112" i="18"/>
  <c r="L112" i="18" s="1"/>
  <c r="K112" i="18"/>
  <c r="J112" i="18"/>
  <c r="H112" i="18"/>
  <c r="G112" i="18"/>
  <c r="F112" i="18"/>
  <c r="E112" i="18"/>
  <c r="D112" i="18" s="1"/>
  <c r="C112" i="18"/>
  <c r="B112" i="18"/>
  <c r="Q112" i="18" s="1"/>
  <c r="P110" i="18"/>
  <c r="O110" i="18"/>
  <c r="N110" i="18"/>
  <c r="M110" i="18"/>
  <c r="K110" i="18"/>
  <c r="J110" i="18"/>
  <c r="H110" i="18"/>
  <c r="G110" i="18"/>
  <c r="D110" i="18" s="1"/>
  <c r="F110" i="18"/>
  <c r="E110" i="18"/>
  <c r="C110" i="18"/>
  <c r="B110" i="18"/>
  <c r="P109" i="18"/>
  <c r="O109" i="18"/>
  <c r="N109" i="18"/>
  <c r="M109" i="18"/>
  <c r="K109" i="18"/>
  <c r="J109" i="18"/>
  <c r="H109" i="18"/>
  <c r="G109" i="18"/>
  <c r="F109" i="18"/>
  <c r="E109" i="18"/>
  <c r="C109" i="18"/>
  <c r="B109" i="18"/>
  <c r="P108" i="18"/>
  <c r="O108" i="18"/>
  <c r="N108" i="18"/>
  <c r="M108" i="18"/>
  <c r="K108" i="18"/>
  <c r="J108" i="18"/>
  <c r="H108" i="18"/>
  <c r="G108" i="18"/>
  <c r="F108" i="18"/>
  <c r="E108" i="18"/>
  <c r="C108" i="18"/>
  <c r="B108" i="18"/>
  <c r="P107" i="18"/>
  <c r="O107" i="18"/>
  <c r="N107" i="18"/>
  <c r="M107" i="18"/>
  <c r="L107" i="18" s="1"/>
  <c r="R107" i="18" s="1"/>
  <c r="K107" i="18"/>
  <c r="J107" i="18"/>
  <c r="H107" i="18"/>
  <c r="G107" i="18"/>
  <c r="F107" i="18"/>
  <c r="E107" i="18"/>
  <c r="C107" i="18"/>
  <c r="B107" i="18"/>
  <c r="P105" i="18"/>
  <c r="O105" i="18"/>
  <c r="N105" i="18"/>
  <c r="M105" i="18"/>
  <c r="L105" i="18" s="1"/>
  <c r="K105" i="18"/>
  <c r="J105" i="18"/>
  <c r="H105" i="18"/>
  <c r="G105" i="18"/>
  <c r="D105" i="18" s="1"/>
  <c r="F105" i="18"/>
  <c r="E105" i="18"/>
  <c r="C105" i="18"/>
  <c r="B105" i="18"/>
  <c r="P104" i="18"/>
  <c r="O104" i="18"/>
  <c r="N104" i="18"/>
  <c r="M104" i="18"/>
  <c r="L104" i="18" s="1"/>
  <c r="K104" i="18"/>
  <c r="J104" i="18"/>
  <c r="H104" i="18"/>
  <c r="G104" i="18"/>
  <c r="F104" i="18"/>
  <c r="E104" i="18"/>
  <c r="D104" i="18" s="1"/>
  <c r="C104" i="18"/>
  <c r="B104" i="18"/>
  <c r="Q104" i="18" s="1"/>
  <c r="P103" i="18"/>
  <c r="O103" i="18"/>
  <c r="N103" i="18"/>
  <c r="M103" i="18"/>
  <c r="K103" i="18"/>
  <c r="J103" i="18"/>
  <c r="H103" i="18"/>
  <c r="G103" i="18"/>
  <c r="D103" i="18" s="1"/>
  <c r="F103" i="18"/>
  <c r="E103" i="18"/>
  <c r="C103" i="18"/>
  <c r="B103" i="18"/>
  <c r="P102" i="18"/>
  <c r="O102" i="18"/>
  <c r="N102" i="18"/>
  <c r="M102" i="18"/>
  <c r="L102" i="18" s="1"/>
  <c r="R102" i="18" s="1"/>
  <c r="K102" i="18"/>
  <c r="J102" i="18"/>
  <c r="H102" i="18"/>
  <c r="G102" i="18"/>
  <c r="F102" i="18"/>
  <c r="E102" i="18"/>
  <c r="D102" i="18" s="1"/>
  <c r="C102" i="18"/>
  <c r="B102" i="18"/>
  <c r="P90" i="18"/>
  <c r="O90" i="18"/>
  <c r="N90" i="18"/>
  <c r="M90" i="18"/>
  <c r="K90" i="18"/>
  <c r="J90" i="18"/>
  <c r="H90" i="18"/>
  <c r="G90" i="18"/>
  <c r="F90" i="18"/>
  <c r="E90" i="18"/>
  <c r="C90" i="18"/>
  <c r="B90" i="18"/>
  <c r="P89" i="18"/>
  <c r="O89" i="18"/>
  <c r="N89" i="18"/>
  <c r="M89" i="18"/>
  <c r="K89" i="18"/>
  <c r="J89" i="18"/>
  <c r="H89" i="18"/>
  <c r="G89" i="18"/>
  <c r="F89" i="18"/>
  <c r="E89" i="18"/>
  <c r="D89" i="18" s="1"/>
  <c r="C89" i="18"/>
  <c r="B89" i="18"/>
  <c r="P88" i="18"/>
  <c r="O88" i="18"/>
  <c r="N88" i="18"/>
  <c r="M88" i="18"/>
  <c r="K88" i="18"/>
  <c r="J88" i="18"/>
  <c r="H88" i="18"/>
  <c r="G88" i="18"/>
  <c r="D88" i="18" s="1"/>
  <c r="F88" i="18"/>
  <c r="E88" i="18"/>
  <c r="C88" i="18"/>
  <c r="B88" i="18"/>
  <c r="P87" i="18"/>
  <c r="O87" i="18"/>
  <c r="N87" i="18"/>
  <c r="M87" i="18"/>
  <c r="L87" i="18" s="1"/>
  <c r="R87" i="18" s="1"/>
  <c r="K87" i="18"/>
  <c r="J87" i="18"/>
  <c r="H87" i="18"/>
  <c r="G87" i="18"/>
  <c r="F87" i="18"/>
  <c r="E87" i="18"/>
  <c r="C87" i="18"/>
  <c r="B87" i="18"/>
  <c r="P85" i="18"/>
  <c r="O85" i="18"/>
  <c r="N85" i="18"/>
  <c r="M85" i="18"/>
  <c r="L85" i="18" s="1"/>
  <c r="K85" i="18"/>
  <c r="J85" i="18"/>
  <c r="R85" i="18" s="1"/>
  <c r="H85" i="18"/>
  <c r="G85" i="18"/>
  <c r="D85" i="18" s="1"/>
  <c r="Q85" i="18" s="1"/>
  <c r="F85" i="18"/>
  <c r="E85" i="18"/>
  <c r="C85" i="18"/>
  <c r="B85" i="18"/>
  <c r="P84" i="18"/>
  <c r="O84" i="18"/>
  <c r="N84" i="18"/>
  <c r="M84" i="18"/>
  <c r="L84" i="18" s="1"/>
  <c r="R84" i="18" s="1"/>
  <c r="K84" i="18"/>
  <c r="J84" i="18"/>
  <c r="H84" i="18"/>
  <c r="G84" i="18"/>
  <c r="F84" i="18"/>
  <c r="E84" i="18"/>
  <c r="C84" i="18"/>
  <c r="B84" i="18"/>
  <c r="P83" i="18"/>
  <c r="O83" i="18"/>
  <c r="N83" i="18"/>
  <c r="M83" i="18"/>
  <c r="L83" i="18" s="1"/>
  <c r="K83" i="18"/>
  <c r="J83" i="18"/>
  <c r="H83" i="18"/>
  <c r="G83" i="18"/>
  <c r="D83" i="18" s="1"/>
  <c r="Q83" i="18" s="1"/>
  <c r="F83" i="18"/>
  <c r="E83" i="18"/>
  <c r="C83" i="18"/>
  <c r="B83" i="18"/>
  <c r="P82" i="18"/>
  <c r="O82" i="18"/>
  <c r="N82" i="18"/>
  <c r="M82" i="18"/>
  <c r="L82" i="18" s="1"/>
  <c r="R82" i="18" s="1"/>
  <c r="K82" i="18"/>
  <c r="J82" i="18"/>
  <c r="H82" i="18"/>
  <c r="G82" i="18"/>
  <c r="F82" i="18"/>
  <c r="E82" i="18"/>
  <c r="C82" i="18"/>
  <c r="B82" i="18"/>
  <c r="Q82" i="18" s="1"/>
  <c r="P80" i="18"/>
  <c r="O80" i="18"/>
  <c r="N80" i="18"/>
  <c r="M80" i="18"/>
  <c r="L80" i="18" s="1"/>
  <c r="K80" i="18"/>
  <c r="J80" i="18"/>
  <c r="R80" i="18" s="1"/>
  <c r="H80" i="18"/>
  <c r="G80" i="18"/>
  <c r="D80" i="18" s="1"/>
  <c r="F80" i="18"/>
  <c r="E80" i="18"/>
  <c r="C80" i="18"/>
  <c r="B80" i="18"/>
  <c r="P79" i="18"/>
  <c r="O79" i="18"/>
  <c r="N79" i="18"/>
  <c r="M79" i="18"/>
  <c r="L79" i="18" s="1"/>
  <c r="R79" i="18" s="1"/>
  <c r="K79" i="18"/>
  <c r="J79" i="18"/>
  <c r="H79" i="18"/>
  <c r="G79" i="18"/>
  <c r="F79" i="18"/>
  <c r="E79" i="18"/>
  <c r="C79" i="18"/>
  <c r="B79" i="18"/>
  <c r="P78" i="18"/>
  <c r="O78" i="18"/>
  <c r="N78" i="18"/>
  <c r="M78" i="18"/>
  <c r="K78" i="18"/>
  <c r="J78" i="18"/>
  <c r="H78" i="18"/>
  <c r="G78" i="18"/>
  <c r="D78" i="18" s="1"/>
  <c r="F78" i="18"/>
  <c r="E78" i="18"/>
  <c r="C78" i="18"/>
  <c r="B78" i="18"/>
  <c r="P77" i="18"/>
  <c r="O77" i="18"/>
  <c r="N77" i="18"/>
  <c r="M77" i="18"/>
  <c r="L77" i="18" s="1"/>
  <c r="K77" i="18"/>
  <c r="J77" i="18"/>
  <c r="H77" i="18"/>
  <c r="G77" i="18"/>
  <c r="F77" i="18"/>
  <c r="E77" i="18"/>
  <c r="C77" i="18"/>
  <c r="B77" i="18"/>
  <c r="P75" i="18"/>
  <c r="O75" i="18"/>
  <c r="N75" i="18"/>
  <c r="M75" i="18"/>
  <c r="L75" i="18" s="1"/>
  <c r="K75" i="18"/>
  <c r="J75" i="18"/>
  <c r="H75" i="18"/>
  <c r="G75" i="18"/>
  <c r="D75" i="18" s="1"/>
  <c r="F75" i="18"/>
  <c r="E75" i="18"/>
  <c r="C75" i="18"/>
  <c r="B75" i="18"/>
  <c r="P74" i="18"/>
  <c r="O74" i="18"/>
  <c r="N74" i="18"/>
  <c r="M74" i="18"/>
  <c r="L74" i="18" s="1"/>
  <c r="K74" i="18"/>
  <c r="J74" i="18"/>
  <c r="H74" i="18"/>
  <c r="G74" i="18"/>
  <c r="F74" i="18"/>
  <c r="E74" i="18"/>
  <c r="C74" i="18"/>
  <c r="B74" i="18"/>
  <c r="Q74" i="18" s="1"/>
  <c r="P73" i="18"/>
  <c r="O73" i="18"/>
  <c r="N73" i="18"/>
  <c r="M73" i="18"/>
  <c r="K73" i="18"/>
  <c r="J73" i="18"/>
  <c r="H73" i="18"/>
  <c r="G73" i="18"/>
  <c r="D73" i="18" s="1"/>
  <c r="F73" i="18"/>
  <c r="E73" i="18"/>
  <c r="C73" i="18"/>
  <c r="B73" i="18"/>
  <c r="P72" i="18"/>
  <c r="O72" i="18"/>
  <c r="N72" i="18"/>
  <c r="M72" i="18"/>
  <c r="L72" i="18" s="1"/>
  <c r="K72" i="18"/>
  <c r="J72" i="18"/>
  <c r="H72" i="18"/>
  <c r="G72" i="18"/>
  <c r="F72" i="18"/>
  <c r="E72" i="18"/>
  <c r="D72" i="18" s="1"/>
  <c r="C72" i="18"/>
  <c r="B72" i="18"/>
  <c r="P59" i="18"/>
  <c r="O59" i="18"/>
  <c r="N59" i="18"/>
  <c r="M59" i="18"/>
  <c r="L59" i="18" s="1"/>
  <c r="K59" i="18"/>
  <c r="J59" i="18"/>
  <c r="H59" i="18"/>
  <c r="G59" i="18"/>
  <c r="D59" i="18" s="1"/>
  <c r="Q59" i="18" s="1"/>
  <c r="F59" i="18"/>
  <c r="E59" i="18"/>
  <c r="C59" i="18"/>
  <c r="B59" i="18"/>
  <c r="P58" i="18"/>
  <c r="O58" i="18"/>
  <c r="N58" i="18"/>
  <c r="M58" i="18"/>
  <c r="L58" i="18" s="1"/>
  <c r="K58" i="18"/>
  <c r="J58" i="18"/>
  <c r="H58" i="18"/>
  <c r="G58" i="18"/>
  <c r="F58" i="18"/>
  <c r="E58" i="18"/>
  <c r="C58" i="18"/>
  <c r="B58" i="18"/>
  <c r="P57" i="18"/>
  <c r="O57" i="18"/>
  <c r="N57" i="18"/>
  <c r="M57" i="18"/>
  <c r="K57" i="18"/>
  <c r="J57" i="18"/>
  <c r="H57" i="18"/>
  <c r="G57" i="18"/>
  <c r="D57" i="18" s="1"/>
  <c r="Q57" i="18" s="1"/>
  <c r="F57" i="18"/>
  <c r="E57" i="18"/>
  <c r="C57" i="18"/>
  <c r="B57" i="18"/>
  <c r="P56" i="18"/>
  <c r="O56" i="18"/>
  <c r="N56" i="18"/>
  <c r="M56" i="18"/>
  <c r="L56" i="18" s="1"/>
  <c r="K56" i="18"/>
  <c r="J56" i="18"/>
  <c r="H56" i="18"/>
  <c r="G56" i="18"/>
  <c r="F56" i="18"/>
  <c r="E56" i="18"/>
  <c r="D56" i="18" s="1"/>
  <c r="C56" i="18"/>
  <c r="B56" i="18"/>
  <c r="Q56" i="18" s="1"/>
  <c r="P54" i="18"/>
  <c r="O54" i="18"/>
  <c r="N54" i="18"/>
  <c r="M54" i="18"/>
  <c r="K54" i="18"/>
  <c r="J54" i="18"/>
  <c r="H54" i="18"/>
  <c r="G54" i="18"/>
  <c r="F54" i="18"/>
  <c r="E54" i="18"/>
  <c r="C54" i="18"/>
  <c r="B54" i="18"/>
  <c r="P53" i="18"/>
  <c r="O53" i="18"/>
  <c r="N53" i="18"/>
  <c r="M53" i="18"/>
  <c r="L53" i="18" s="1"/>
  <c r="K53" i="18"/>
  <c r="J53" i="18"/>
  <c r="H53" i="18"/>
  <c r="G53" i="18"/>
  <c r="F53" i="18"/>
  <c r="E53" i="18"/>
  <c r="C53" i="18"/>
  <c r="B53" i="18"/>
  <c r="P52" i="18"/>
  <c r="O52" i="18"/>
  <c r="N52" i="18"/>
  <c r="M52" i="18"/>
  <c r="K52" i="18"/>
  <c r="J52" i="18"/>
  <c r="H52" i="18"/>
  <c r="G52" i="18"/>
  <c r="F52" i="18"/>
  <c r="E52" i="18"/>
  <c r="C52" i="18"/>
  <c r="B52" i="18"/>
  <c r="P51" i="18"/>
  <c r="O51" i="18"/>
  <c r="N51" i="18"/>
  <c r="M51" i="18"/>
  <c r="L51" i="18" s="1"/>
  <c r="K51" i="18"/>
  <c r="J51" i="18"/>
  <c r="H51" i="18"/>
  <c r="G51" i="18"/>
  <c r="F51" i="18"/>
  <c r="E51" i="18"/>
  <c r="C51" i="18"/>
  <c r="B51" i="18"/>
  <c r="P49" i="18"/>
  <c r="O49" i="18"/>
  <c r="N49" i="18"/>
  <c r="M49" i="18"/>
  <c r="K49" i="18"/>
  <c r="J49" i="18"/>
  <c r="H49" i="18"/>
  <c r="G49" i="18"/>
  <c r="D49" i="18" s="1"/>
  <c r="Q49" i="18" s="1"/>
  <c r="F49" i="18"/>
  <c r="E49" i="18"/>
  <c r="C49" i="18"/>
  <c r="B49" i="18"/>
  <c r="P48" i="18"/>
  <c r="O48" i="18"/>
  <c r="N48" i="18"/>
  <c r="M48" i="18"/>
  <c r="L48" i="18" s="1"/>
  <c r="K48" i="18"/>
  <c r="J48" i="18"/>
  <c r="H48" i="18"/>
  <c r="G48" i="18"/>
  <c r="F48" i="18"/>
  <c r="E48" i="18"/>
  <c r="C48" i="18"/>
  <c r="B48" i="18"/>
  <c r="Q48" i="18" s="1"/>
  <c r="P47" i="18"/>
  <c r="O47" i="18"/>
  <c r="N47" i="18"/>
  <c r="M47" i="18"/>
  <c r="L47" i="18" s="1"/>
  <c r="K47" i="18"/>
  <c r="J47" i="18"/>
  <c r="H47" i="18"/>
  <c r="G47" i="18"/>
  <c r="D47" i="18" s="1"/>
  <c r="Q47" i="18" s="1"/>
  <c r="F47" i="18"/>
  <c r="E47" i="18"/>
  <c r="C47" i="18"/>
  <c r="B47" i="18"/>
  <c r="P46" i="18"/>
  <c r="O46" i="18"/>
  <c r="N46" i="18"/>
  <c r="M46" i="18"/>
  <c r="L46" i="18" s="1"/>
  <c r="R46" i="18" s="1"/>
  <c r="K46" i="18"/>
  <c r="J46" i="18"/>
  <c r="H46" i="18"/>
  <c r="G46" i="18"/>
  <c r="F46" i="18"/>
  <c r="E46" i="18"/>
  <c r="D46" i="18" s="1"/>
  <c r="C46" i="18"/>
  <c r="B46" i="18"/>
  <c r="P44" i="18"/>
  <c r="O44" i="18"/>
  <c r="N44" i="18"/>
  <c r="M44" i="18"/>
  <c r="K44" i="18"/>
  <c r="J44" i="18"/>
  <c r="H44" i="18"/>
  <c r="G44" i="18"/>
  <c r="D44" i="18" s="1"/>
  <c r="F44" i="18"/>
  <c r="E44" i="18"/>
  <c r="C44" i="18"/>
  <c r="B44" i="18"/>
  <c r="P43" i="18"/>
  <c r="O43" i="18"/>
  <c r="N43" i="18"/>
  <c r="M43" i="18"/>
  <c r="L43" i="18" s="1"/>
  <c r="R43" i="18" s="1"/>
  <c r="K43" i="18"/>
  <c r="J43" i="18"/>
  <c r="H43" i="18"/>
  <c r="G43" i="18"/>
  <c r="F43" i="18"/>
  <c r="E43" i="18"/>
  <c r="C43" i="18"/>
  <c r="B43" i="18"/>
  <c r="P42" i="18"/>
  <c r="O42" i="18"/>
  <c r="N42" i="18"/>
  <c r="M42" i="18"/>
  <c r="K42" i="18"/>
  <c r="J42" i="18"/>
  <c r="R42" i="18" s="1"/>
  <c r="H42" i="18"/>
  <c r="G42" i="18"/>
  <c r="D42" i="18" s="1"/>
  <c r="F42" i="18"/>
  <c r="E42" i="18"/>
  <c r="C42" i="18"/>
  <c r="B42" i="18"/>
  <c r="P41" i="18"/>
  <c r="O41" i="18"/>
  <c r="N41" i="18"/>
  <c r="M41" i="18"/>
  <c r="L41" i="18" s="1"/>
  <c r="R41" i="18" s="1"/>
  <c r="K41" i="18"/>
  <c r="J41" i="18"/>
  <c r="H41" i="18"/>
  <c r="G41" i="18"/>
  <c r="F41" i="18"/>
  <c r="E41" i="18"/>
  <c r="C41" i="18"/>
  <c r="B41" i="18"/>
  <c r="P27" i="18"/>
  <c r="O27" i="18"/>
  <c r="N27" i="18"/>
  <c r="M27" i="18"/>
  <c r="L27" i="18" s="1"/>
  <c r="K27" i="18"/>
  <c r="J27" i="18"/>
  <c r="H27" i="18"/>
  <c r="G27" i="18"/>
  <c r="D27" i="18" s="1"/>
  <c r="Q27" i="18" s="1"/>
  <c r="F27" i="18"/>
  <c r="E27" i="18"/>
  <c r="C27" i="18"/>
  <c r="B27" i="18"/>
  <c r="P26" i="18"/>
  <c r="O26" i="18"/>
  <c r="N26" i="18"/>
  <c r="M26" i="18"/>
  <c r="L26" i="18" s="1"/>
  <c r="K26" i="18"/>
  <c r="J26" i="18"/>
  <c r="H26" i="18"/>
  <c r="G26" i="18"/>
  <c r="F26" i="18"/>
  <c r="E26" i="18"/>
  <c r="C26" i="18"/>
  <c r="B26" i="18"/>
  <c r="P25" i="18"/>
  <c r="O25" i="18"/>
  <c r="N25" i="18"/>
  <c r="M25" i="18"/>
  <c r="K25" i="18"/>
  <c r="J25" i="18"/>
  <c r="H25" i="18"/>
  <c r="G25" i="18"/>
  <c r="D25" i="18" s="1"/>
  <c r="Q25" i="18" s="1"/>
  <c r="F25" i="18"/>
  <c r="E25" i="18"/>
  <c r="C25" i="18"/>
  <c r="B25" i="18"/>
  <c r="P24" i="18"/>
  <c r="O24" i="18"/>
  <c r="N24" i="18"/>
  <c r="M24" i="18"/>
  <c r="L24" i="18" s="1"/>
  <c r="K24" i="18"/>
  <c r="J24" i="18"/>
  <c r="H24" i="18"/>
  <c r="G24" i="18"/>
  <c r="F24" i="18"/>
  <c r="E24" i="18"/>
  <c r="C24" i="18"/>
  <c r="B24" i="18"/>
  <c r="P22" i="18"/>
  <c r="O22" i="18"/>
  <c r="N22" i="18"/>
  <c r="M22" i="18"/>
  <c r="K22" i="18"/>
  <c r="J22" i="18"/>
  <c r="R22" i="18" s="1"/>
  <c r="H22" i="18"/>
  <c r="G22" i="18"/>
  <c r="D22" i="18" s="1"/>
  <c r="Q22" i="18" s="1"/>
  <c r="F22" i="18"/>
  <c r="E22" i="18"/>
  <c r="C22" i="18"/>
  <c r="B22" i="18"/>
  <c r="P21" i="18"/>
  <c r="O21" i="18"/>
  <c r="N21" i="18"/>
  <c r="M21" i="18"/>
  <c r="L21" i="18" s="1"/>
  <c r="R21" i="18" s="1"/>
  <c r="K21" i="18"/>
  <c r="J21" i="18"/>
  <c r="H21" i="18"/>
  <c r="G21" i="18"/>
  <c r="F21" i="18"/>
  <c r="E21" i="18"/>
  <c r="D21" i="18" s="1"/>
  <c r="C21" i="18"/>
  <c r="B21" i="18"/>
  <c r="Q21" i="18" s="1"/>
  <c r="P20" i="18"/>
  <c r="O20" i="18"/>
  <c r="N20" i="18"/>
  <c r="M20" i="18"/>
  <c r="K20" i="18"/>
  <c r="J20" i="18"/>
  <c r="R20" i="18" s="1"/>
  <c r="H20" i="18"/>
  <c r="G20" i="18"/>
  <c r="D20" i="18" s="1"/>
  <c r="Q20" i="18" s="1"/>
  <c r="F20" i="18"/>
  <c r="E20" i="18"/>
  <c r="C20" i="18"/>
  <c r="B20" i="18"/>
  <c r="P19" i="18"/>
  <c r="O19" i="18"/>
  <c r="N19" i="18"/>
  <c r="M19" i="18"/>
  <c r="K19" i="18"/>
  <c r="J19" i="18"/>
  <c r="H19" i="18"/>
  <c r="G19" i="18"/>
  <c r="F19" i="18"/>
  <c r="E19" i="18"/>
  <c r="C19" i="18"/>
  <c r="B19" i="18"/>
  <c r="P17" i="18"/>
  <c r="O17" i="18"/>
  <c r="N17" i="18"/>
  <c r="M17" i="18"/>
  <c r="L17" i="18" s="1"/>
  <c r="K17" i="18"/>
  <c r="J17" i="18"/>
  <c r="H17" i="18"/>
  <c r="G17" i="18"/>
  <c r="D17" i="18" s="1"/>
  <c r="F17" i="18"/>
  <c r="E17" i="18"/>
  <c r="C17" i="18"/>
  <c r="B17" i="18"/>
  <c r="P16" i="18"/>
  <c r="O16" i="18"/>
  <c r="N16" i="18"/>
  <c r="M16" i="18"/>
  <c r="L16" i="18" s="1"/>
  <c r="K16" i="18"/>
  <c r="J16" i="18"/>
  <c r="H16" i="18"/>
  <c r="G16" i="18"/>
  <c r="F16" i="18"/>
  <c r="E16" i="18"/>
  <c r="D16" i="18" s="1"/>
  <c r="C16" i="18"/>
  <c r="B16" i="18"/>
  <c r="P15" i="18"/>
  <c r="O15" i="18"/>
  <c r="N15" i="18"/>
  <c r="M15" i="18"/>
  <c r="K15" i="18"/>
  <c r="J15" i="18"/>
  <c r="H15" i="18"/>
  <c r="G15" i="18"/>
  <c r="D15" i="18" s="1"/>
  <c r="F15" i="18"/>
  <c r="E15" i="18"/>
  <c r="C15" i="18"/>
  <c r="B15" i="18"/>
  <c r="P14" i="18"/>
  <c r="O14" i="18"/>
  <c r="N14" i="18"/>
  <c r="M14" i="18"/>
  <c r="L14" i="18" s="1"/>
  <c r="K14" i="18"/>
  <c r="J14" i="18"/>
  <c r="H14" i="18"/>
  <c r="G14" i="18"/>
  <c r="F14" i="18"/>
  <c r="E14" i="18"/>
  <c r="D14" i="18" s="1"/>
  <c r="C14" i="18"/>
  <c r="B14" i="18"/>
  <c r="P12" i="18"/>
  <c r="O12" i="18"/>
  <c r="N12" i="18"/>
  <c r="M12" i="18"/>
  <c r="K12" i="18"/>
  <c r="J12" i="18"/>
  <c r="H12" i="18"/>
  <c r="G12" i="18"/>
  <c r="D12" i="18" s="1"/>
  <c r="Q12" i="18" s="1"/>
  <c r="F12" i="18"/>
  <c r="E12" i="18"/>
  <c r="C12" i="18"/>
  <c r="B12" i="18"/>
  <c r="P11" i="18"/>
  <c r="O11" i="18"/>
  <c r="N11" i="18"/>
  <c r="M11" i="18"/>
  <c r="L11" i="18" s="1"/>
  <c r="R11" i="18" s="1"/>
  <c r="K11" i="18"/>
  <c r="J11" i="18"/>
  <c r="H11" i="18"/>
  <c r="G11" i="18"/>
  <c r="F11" i="18"/>
  <c r="E11" i="18"/>
  <c r="D11" i="18" s="1"/>
  <c r="C11" i="18"/>
  <c r="B11" i="18"/>
  <c r="P10" i="18"/>
  <c r="O10" i="18"/>
  <c r="N10" i="18"/>
  <c r="M10" i="18"/>
  <c r="K10" i="18"/>
  <c r="J10" i="18"/>
  <c r="H10" i="18"/>
  <c r="G10" i="18"/>
  <c r="D10" i="18" s="1"/>
  <c r="Q10" i="18" s="1"/>
  <c r="F10" i="18"/>
  <c r="E10" i="18"/>
  <c r="C10" i="18"/>
  <c r="B10" i="18"/>
  <c r="P9" i="18"/>
  <c r="O9" i="18"/>
  <c r="N9" i="18"/>
  <c r="M9" i="18"/>
  <c r="K9" i="18"/>
  <c r="J9" i="18"/>
  <c r="H9" i="18"/>
  <c r="G9" i="18"/>
  <c r="F9" i="18"/>
  <c r="E9" i="18"/>
  <c r="D9" i="18" s="1"/>
  <c r="C9" i="18"/>
  <c r="B9" i="18"/>
  <c r="Q454" i="18"/>
  <c r="D453" i="18"/>
  <c r="Q453" i="18" s="1"/>
  <c r="Q449" i="18"/>
  <c r="D448" i="18"/>
  <c r="D445" i="18"/>
  <c r="Q444" i="18"/>
  <c r="Q439" i="18"/>
  <c r="Q438" i="18"/>
  <c r="Q437" i="18"/>
  <c r="Q436" i="18"/>
  <c r="Q435" i="18"/>
  <c r="Q434" i="18"/>
  <c r="Q433" i="18"/>
  <c r="Q432" i="18"/>
  <c r="Q431" i="18"/>
  <c r="Q430" i="18"/>
  <c r="Q429" i="18"/>
  <c r="D428" i="18"/>
  <c r="Q424" i="18"/>
  <c r="Q419" i="18"/>
  <c r="Q414" i="18"/>
  <c r="D413" i="18"/>
  <c r="Q413" i="18" s="1"/>
  <c r="Q409" i="18"/>
  <c r="Q408" i="18"/>
  <c r="Q407" i="18"/>
  <c r="Q406" i="18"/>
  <c r="Q405" i="18"/>
  <c r="Q404" i="18"/>
  <c r="Q403" i="18"/>
  <c r="Q402" i="18"/>
  <c r="Q401" i="18"/>
  <c r="Q400" i="18"/>
  <c r="Q399" i="18"/>
  <c r="D398" i="18"/>
  <c r="D396" i="18"/>
  <c r="Q396" i="18" s="1"/>
  <c r="Q394" i="18"/>
  <c r="D390" i="18"/>
  <c r="Q389" i="18"/>
  <c r="Q384" i="18"/>
  <c r="D383" i="18"/>
  <c r="Q379" i="18"/>
  <c r="Q378" i="18"/>
  <c r="Q377" i="18"/>
  <c r="Q376" i="18"/>
  <c r="Q375" i="18"/>
  <c r="Q374" i="18"/>
  <c r="Q373" i="18"/>
  <c r="Q372" i="18"/>
  <c r="Q371" i="18"/>
  <c r="Q370" i="18"/>
  <c r="Q369" i="18"/>
  <c r="Q368" i="18"/>
  <c r="D367" i="18"/>
  <c r="Q363" i="18"/>
  <c r="Q358" i="18"/>
  <c r="D357" i="18"/>
  <c r="Q357" i="18"/>
  <c r="Q353" i="18"/>
  <c r="D352" i="18"/>
  <c r="D349" i="18"/>
  <c r="Q348" i="18"/>
  <c r="Q347" i="18"/>
  <c r="Q346" i="18"/>
  <c r="Q345" i="18"/>
  <c r="Q344" i="18"/>
  <c r="Q343" i="18"/>
  <c r="Q342" i="18"/>
  <c r="Q341" i="18"/>
  <c r="Q340" i="18"/>
  <c r="Q338" i="18"/>
  <c r="Q337" i="18"/>
  <c r="D336" i="18"/>
  <c r="D333" i="18"/>
  <c r="Q332" i="18"/>
  <c r="Q327" i="18"/>
  <c r="D326" i="18"/>
  <c r="Q326" i="18"/>
  <c r="Q322" i="18"/>
  <c r="D321" i="18"/>
  <c r="Q317" i="18"/>
  <c r="Q316" i="18"/>
  <c r="Q315" i="18"/>
  <c r="Q314" i="18"/>
  <c r="Q313" i="18"/>
  <c r="Q312" i="18"/>
  <c r="Q311" i="18"/>
  <c r="Q310" i="18"/>
  <c r="Q309" i="18"/>
  <c r="Q308" i="18"/>
  <c r="Q307" i="18"/>
  <c r="Q306" i="18"/>
  <c r="D302" i="18"/>
  <c r="Q301" i="18"/>
  <c r="Q296" i="18"/>
  <c r="D295" i="18"/>
  <c r="Q295" i="18" s="1"/>
  <c r="Q291" i="18"/>
  <c r="D290" i="18"/>
  <c r="Q290" i="18" s="1"/>
  <c r="Q286" i="18"/>
  <c r="Q285" i="18"/>
  <c r="Q284" i="18"/>
  <c r="Q283" i="18"/>
  <c r="Q282" i="18"/>
  <c r="Q281" i="18"/>
  <c r="Q280" i="18"/>
  <c r="Q279" i="18"/>
  <c r="Q278" i="18"/>
  <c r="Q277" i="18"/>
  <c r="Q276" i="18"/>
  <c r="Q275" i="18"/>
  <c r="D274" i="18"/>
  <c r="Q274" i="18" s="1"/>
  <c r="D272" i="18"/>
  <c r="Q270" i="18"/>
  <c r="D266" i="18"/>
  <c r="Q265" i="18"/>
  <c r="D264" i="18"/>
  <c r="Q260" i="18"/>
  <c r="D259" i="18"/>
  <c r="Q257" i="18"/>
  <c r="Q255" i="18"/>
  <c r="Q254" i="18"/>
  <c r="Q253" i="18"/>
  <c r="Q252" i="18"/>
  <c r="Q251" i="18"/>
  <c r="Q250" i="18"/>
  <c r="Q249" i="18"/>
  <c r="Q248" i="18"/>
  <c r="Q247" i="18"/>
  <c r="Q246" i="18"/>
  <c r="Q245" i="18"/>
  <c r="Q244" i="18"/>
  <c r="D243" i="18"/>
  <c r="Q243" i="18" s="1"/>
  <c r="Q239" i="18"/>
  <c r="D238" i="18"/>
  <c r="D237" i="18"/>
  <c r="Q234" i="18"/>
  <c r="D230" i="18"/>
  <c r="Q229" i="18"/>
  <c r="D228" i="18"/>
  <c r="Q224" i="18"/>
  <c r="Q223" i="18"/>
  <c r="Q222" i="18"/>
  <c r="Q221" i="18"/>
  <c r="Q220" i="18"/>
  <c r="Q219" i="18"/>
  <c r="Q218" i="18"/>
  <c r="Q217" i="18"/>
  <c r="R216" i="18"/>
  <c r="Q216" i="18"/>
  <c r="R215" i="18"/>
  <c r="Q215" i="18"/>
  <c r="R214" i="18"/>
  <c r="Q214" i="18"/>
  <c r="R213" i="18"/>
  <c r="Q213" i="18"/>
  <c r="L212" i="18"/>
  <c r="L211" i="18"/>
  <c r="R208" i="18"/>
  <c r="Q208" i="18"/>
  <c r="L207" i="18"/>
  <c r="R207" i="18" s="1"/>
  <c r="R203" i="18"/>
  <c r="Q203" i="18"/>
  <c r="L202" i="18"/>
  <c r="L200" i="18"/>
  <c r="R198" i="18"/>
  <c r="Q198" i="18"/>
  <c r="L197" i="18"/>
  <c r="L195" i="18"/>
  <c r="R195" i="18"/>
  <c r="R193" i="18"/>
  <c r="Q193" i="18"/>
  <c r="R192" i="18"/>
  <c r="Q192" i="18"/>
  <c r="R191" i="18"/>
  <c r="Q191" i="18"/>
  <c r="R190" i="18"/>
  <c r="Q190" i="18"/>
  <c r="R189" i="18"/>
  <c r="Q189" i="18"/>
  <c r="R188" i="18"/>
  <c r="Q188" i="18"/>
  <c r="R187" i="18"/>
  <c r="Q187" i="18"/>
  <c r="R186" i="18"/>
  <c r="Q186" i="18"/>
  <c r="R185" i="18"/>
  <c r="Q185" i="18"/>
  <c r="R184" i="18"/>
  <c r="Q184" i="18"/>
  <c r="R183" i="18"/>
  <c r="Q183" i="18"/>
  <c r="L180" i="18"/>
  <c r="R178" i="18"/>
  <c r="Q178" i="18"/>
  <c r="L177" i="18"/>
  <c r="R173" i="18"/>
  <c r="Q173" i="18"/>
  <c r="L172" i="18"/>
  <c r="D172" i="18"/>
  <c r="D169" i="18"/>
  <c r="R168" i="18"/>
  <c r="Q168" i="18"/>
  <c r="R163" i="18"/>
  <c r="Q163" i="18"/>
  <c r="R162" i="18"/>
  <c r="Q162" i="18"/>
  <c r="R161" i="18"/>
  <c r="Q161" i="18"/>
  <c r="R160" i="18"/>
  <c r="Q160" i="18"/>
  <c r="R159" i="18"/>
  <c r="Q159" i="18"/>
  <c r="R158" i="18"/>
  <c r="Q158" i="18"/>
  <c r="R157" i="18"/>
  <c r="Q157" i="18"/>
  <c r="R156" i="18"/>
  <c r="Q156" i="18"/>
  <c r="R155" i="18"/>
  <c r="Q155" i="18"/>
  <c r="R153" i="18"/>
  <c r="Q153" i="18"/>
  <c r="R152" i="18"/>
  <c r="Q152" i="18"/>
  <c r="L151" i="18"/>
  <c r="L149" i="18"/>
  <c r="L148" i="18"/>
  <c r="D148" i="18"/>
  <c r="R147" i="18"/>
  <c r="Q147" i="18"/>
  <c r="R142" i="18"/>
  <c r="Q142" i="18"/>
  <c r="L141" i="18"/>
  <c r="L139" i="18"/>
  <c r="R139" i="18"/>
  <c r="R137" i="18"/>
  <c r="Q137" i="18"/>
  <c r="L136" i="18"/>
  <c r="R136" i="18"/>
  <c r="R132" i="18"/>
  <c r="Q132" i="18"/>
  <c r="R131" i="18"/>
  <c r="Q131" i="18"/>
  <c r="R130" i="18"/>
  <c r="Q130" i="18"/>
  <c r="R129" i="18"/>
  <c r="Q129" i="18"/>
  <c r="R128" i="18"/>
  <c r="Q128" i="18"/>
  <c r="R127" i="18"/>
  <c r="Q127" i="18"/>
  <c r="R126" i="18"/>
  <c r="Q126" i="18"/>
  <c r="R125" i="18"/>
  <c r="Q125" i="18"/>
  <c r="R124" i="18"/>
  <c r="Q124" i="18"/>
  <c r="R123" i="18"/>
  <c r="Q123" i="18"/>
  <c r="R122" i="18"/>
  <c r="Q122" i="18"/>
  <c r="R121" i="18"/>
  <c r="Q121" i="18"/>
  <c r="R116" i="18"/>
  <c r="Q116" i="18"/>
  <c r="L115" i="18"/>
  <c r="L113" i="18"/>
  <c r="R111" i="18"/>
  <c r="Q111" i="18"/>
  <c r="D109" i="18"/>
  <c r="R106" i="18"/>
  <c r="Q106" i="18"/>
  <c r="L103" i="18"/>
  <c r="R103" i="18"/>
  <c r="R101" i="18"/>
  <c r="Q101" i="18"/>
  <c r="R100" i="18"/>
  <c r="Q100" i="18"/>
  <c r="R99" i="18"/>
  <c r="Q99" i="18"/>
  <c r="R98" i="18"/>
  <c r="Q98" i="18"/>
  <c r="R97" i="18"/>
  <c r="Q97" i="18"/>
  <c r="R96" i="18"/>
  <c r="Q96" i="18"/>
  <c r="R95" i="18"/>
  <c r="Q95" i="18"/>
  <c r="R94" i="18"/>
  <c r="Q94" i="18"/>
  <c r="R93" i="18"/>
  <c r="Q93" i="18"/>
  <c r="R92" i="18"/>
  <c r="Q92" i="18"/>
  <c r="R91" i="18"/>
  <c r="Q91" i="18"/>
  <c r="R86" i="18"/>
  <c r="Q86" i="18"/>
  <c r="D84" i="18"/>
  <c r="D82" i="18"/>
  <c r="R81" i="18"/>
  <c r="Q81" i="18"/>
  <c r="R76" i="18"/>
  <c r="Q76" i="18"/>
  <c r="D74" i="18"/>
  <c r="R71" i="18"/>
  <c r="Q71" i="18"/>
  <c r="R70" i="18"/>
  <c r="Q70" i="18"/>
  <c r="R69" i="18"/>
  <c r="Q69" i="18"/>
  <c r="R68" i="18"/>
  <c r="Q68" i="18"/>
  <c r="R67" i="18"/>
  <c r="Q67" i="18"/>
  <c r="R66" i="18"/>
  <c r="Q66" i="18"/>
  <c r="R65" i="18"/>
  <c r="Q65" i="18"/>
  <c r="R64" i="18"/>
  <c r="Q64" i="18"/>
  <c r="R63" i="18"/>
  <c r="Q63" i="18"/>
  <c r="R62" i="18"/>
  <c r="Q62" i="18"/>
  <c r="R61" i="18"/>
  <c r="Q61" i="18"/>
  <c r="R60" i="18"/>
  <c r="Q60" i="18"/>
  <c r="L57" i="18"/>
  <c r="R55" i="18"/>
  <c r="Q55" i="18"/>
  <c r="L54" i="18"/>
  <c r="R54" i="18" s="1"/>
  <c r="D53" i="18"/>
  <c r="R50" i="18"/>
  <c r="Q50" i="18"/>
  <c r="L49" i="18"/>
  <c r="D48" i="18"/>
  <c r="R45" i="18"/>
  <c r="Q45" i="18"/>
  <c r="L42" i="18"/>
  <c r="R40" i="18"/>
  <c r="Q40" i="18"/>
  <c r="R39" i="18"/>
  <c r="Q39" i="18"/>
  <c r="R38" i="18"/>
  <c r="Q38" i="18"/>
  <c r="R37" i="18"/>
  <c r="Q37" i="18"/>
  <c r="R36" i="18"/>
  <c r="Q36" i="18"/>
  <c r="R35" i="18"/>
  <c r="Q35" i="18"/>
  <c r="R34" i="18"/>
  <c r="Q34" i="18"/>
  <c r="R33" i="18"/>
  <c r="Q33" i="18"/>
  <c r="R32" i="18"/>
  <c r="Q32" i="18"/>
  <c r="R31" i="18"/>
  <c r="Q31" i="18"/>
  <c r="R30" i="18"/>
  <c r="Q30" i="18"/>
  <c r="R29" i="18"/>
  <c r="Q29" i="18"/>
  <c r="R28" i="18"/>
  <c r="Q28" i="18"/>
  <c r="L25" i="18"/>
  <c r="R23" i="18"/>
  <c r="Q23" i="18"/>
  <c r="L22" i="18"/>
  <c r="L20" i="18"/>
  <c r="D19" i="18"/>
  <c r="R18" i="18"/>
  <c r="Q18" i="18"/>
  <c r="L15" i="18"/>
  <c r="R15" i="18" s="1"/>
  <c r="R13" i="18"/>
  <c r="Q13" i="18"/>
  <c r="L12" i="18"/>
  <c r="H458" i="17"/>
  <c r="G458" i="17"/>
  <c r="F458" i="17"/>
  <c r="D458" i="17" s="1"/>
  <c r="E458" i="17"/>
  <c r="C458" i="17"/>
  <c r="B458" i="17"/>
  <c r="H457" i="17"/>
  <c r="G457" i="17"/>
  <c r="D457" i="17" s="1"/>
  <c r="F457" i="17"/>
  <c r="E457" i="17"/>
  <c r="C457" i="17"/>
  <c r="B457" i="17"/>
  <c r="H456" i="17"/>
  <c r="G456" i="17"/>
  <c r="F456" i="17"/>
  <c r="E456" i="17"/>
  <c r="D456" i="17" s="1"/>
  <c r="C456" i="17"/>
  <c r="B456" i="17"/>
  <c r="H455" i="17"/>
  <c r="G455" i="17"/>
  <c r="F455" i="17"/>
  <c r="E455" i="17"/>
  <c r="D455" i="17" s="1"/>
  <c r="C455" i="17"/>
  <c r="B455" i="17"/>
  <c r="H453" i="17"/>
  <c r="G453" i="17"/>
  <c r="F453" i="17"/>
  <c r="E453" i="17"/>
  <c r="C453" i="17"/>
  <c r="B453" i="17"/>
  <c r="H452" i="17"/>
  <c r="G452" i="17"/>
  <c r="D452" i="17" s="1"/>
  <c r="F452" i="17"/>
  <c r="E452" i="17"/>
  <c r="C452" i="17"/>
  <c r="B452" i="17"/>
  <c r="H451" i="17"/>
  <c r="G451" i="17"/>
  <c r="F451" i="17"/>
  <c r="E451" i="17"/>
  <c r="D451" i="17" s="1"/>
  <c r="C451" i="17"/>
  <c r="B451" i="17"/>
  <c r="H450" i="17"/>
  <c r="G450" i="17"/>
  <c r="F450" i="17"/>
  <c r="E450" i="17"/>
  <c r="D450" i="17" s="1"/>
  <c r="C450" i="17"/>
  <c r="B450" i="17"/>
  <c r="H448" i="17"/>
  <c r="G448" i="17"/>
  <c r="F448" i="17"/>
  <c r="D448" i="17" s="1"/>
  <c r="Q448" i="17" s="1"/>
  <c r="E448" i="17"/>
  <c r="C448" i="17"/>
  <c r="B448" i="17"/>
  <c r="H447" i="17"/>
  <c r="G447" i="17"/>
  <c r="D447" i="17" s="1"/>
  <c r="Q447" i="17" s="1"/>
  <c r="F447" i="17"/>
  <c r="E447" i="17"/>
  <c r="C447" i="17"/>
  <c r="B447" i="17"/>
  <c r="H446" i="17"/>
  <c r="G446" i="17"/>
  <c r="F446" i="17"/>
  <c r="E446" i="17"/>
  <c r="D446" i="17" s="1"/>
  <c r="Q446" i="17" s="1"/>
  <c r="C446" i="17"/>
  <c r="B446" i="17"/>
  <c r="H445" i="17"/>
  <c r="G445" i="17"/>
  <c r="F445" i="17"/>
  <c r="E445" i="17"/>
  <c r="C445" i="17"/>
  <c r="B445" i="17"/>
  <c r="H443" i="17"/>
  <c r="G443" i="17"/>
  <c r="F443" i="17"/>
  <c r="D443" i="17" s="1"/>
  <c r="E443" i="17"/>
  <c r="C443" i="17"/>
  <c r="B443" i="17"/>
  <c r="Q443" i="17" s="1"/>
  <c r="H442" i="17"/>
  <c r="G442" i="17"/>
  <c r="D442" i="17" s="1"/>
  <c r="Q442" i="17" s="1"/>
  <c r="F442" i="17"/>
  <c r="E442" i="17"/>
  <c r="C442" i="17"/>
  <c r="B442" i="17"/>
  <c r="H441" i="17"/>
  <c r="G441" i="17"/>
  <c r="F441" i="17"/>
  <c r="E441" i="17"/>
  <c r="C441" i="17"/>
  <c r="B441" i="17"/>
  <c r="H440" i="17"/>
  <c r="G440" i="17"/>
  <c r="F440" i="17"/>
  <c r="E440" i="17"/>
  <c r="C440" i="17"/>
  <c r="B440" i="17"/>
  <c r="H428" i="17"/>
  <c r="G428" i="17"/>
  <c r="F428" i="17"/>
  <c r="E428" i="17"/>
  <c r="C428" i="17"/>
  <c r="B428" i="17"/>
  <c r="H427" i="17"/>
  <c r="G427" i="17"/>
  <c r="D427" i="17" s="1"/>
  <c r="Q427" i="17" s="1"/>
  <c r="F427" i="17"/>
  <c r="E427" i="17"/>
  <c r="C427" i="17"/>
  <c r="B427" i="17"/>
  <c r="H426" i="17"/>
  <c r="G426" i="17"/>
  <c r="F426" i="17"/>
  <c r="E426" i="17"/>
  <c r="D426" i="17" s="1"/>
  <c r="Q426" i="17" s="1"/>
  <c r="C426" i="17"/>
  <c r="B426" i="17"/>
  <c r="H425" i="17"/>
  <c r="G425" i="17"/>
  <c r="F425" i="17"/>
  <c r="E425" i="17"/>
  <c r="D425" i="17" s="1"/>
  <c r="C425" i="17"/>
  <c r="B425" i="17"/>
  <c r="H423" i="17"/>
  <c r="G423" i="17"/>
  <c r="F423" i="17"/>
  <c r="E423" i="17"/>
  <c r="C423" i="17"/>
  <c r="B423" i="17"/>
  <c r="Q423" i="17" s="1"/>
  <c r="H422" i="17"/>
  <c r="G422" i="17"/>
  <c r="D422" i="17" s="1"/>
  <c r="Q422" i="17" s="1"/>
  <c r="F422" i="17"/>
  <c r="E422" i="17"/>
  <c r="C422" i="17"/>
  <c r="B422" i="17"/>
  <c r="H421" i="17"/>
  <c r="G421" i="17"/>
  <c r="F421" i="17"/>
  <c r="E421" i="17"/>
  <c r="D421" i="17" s="1"/>
  <c r="C421" i="17"/>
  <c r="B421" i="17"/>
  <c r="H420" i="17"/>
  <c r="G420" i="17"/>
  <c r="F420" i="17"/>
  <c r="E420" i="17"/>
  <c r="C420" i="17"/>
  <c r="B420" i="17"/>
  <c r="H418" i="17"/>
  <c r="G418" i="17"/>
  <c r="F418" i="17"/>
  <c r="E418" i="17"/>
  <c r="C418" i="17"/>
  <c r="B418" i="17"/>
  <c r="H417" i="17"/>
  <c r="G417" i="17"/>
  <c r="D417" i="17" s="1"/>
  <c r="F417" i="17"/>
  <c r="E417" i="17"/>
  <c r="C417" i="17"/>
  <c r="B417" i="17"/>
  <c r="H416" i="17"/>
  <c r="G416" i="17"/>
  <c r="F416" i="17"/>
  <c r="E416" i="17"/>
  <c r="D416" i="17" s="1"/>
  <c r="C416" i="17"/>
  <c r="B416" i="17"/>
  <c r="H415" i="17"/>
  <c r="G415" i="17"/>
  <c r="F415" i="17"/>
  <c r="E415" i="17"/>
  <c r="C415" i="17"/>
  <c r="B415" i="17"/>
  <c r="H413" i="17"/>
  <c r="G413" i="17"/>
  <c r="F413" i="17"/>
  <c r="E413" i="17"/>
  <c r="C413" i="17"/>
  <c r="B413" i="17"/>
  <c r="H412" i="17"/>
  <c r="G412" i="17"/>
  <c r="D412" i="17" s="1"/>
  <c r="F412" i="17"/>
  <c r="E412" i="17"/>
  <c r="C412" i="17"/>
  <c r="B412" i="17"/>
  <c r="H411" i="17"/>
  <c r="G411" i="17"/>
  <c r="F411" i="17"/>
  <c r="E411" i="17"/>
  <c r="D411" i="17" s="1"/>
  <c r="C411" i="17"/>
  <c r="B411" i="17"/>
  <c r="H410" i="17"/>
  <c r="G410" i="17"/>
  <c r="F410" i="17"/>
  <c r="E410" i="17"/>
  <c r="D410" i="17" s="1"/>
  <c r="C410" i="17"/>
  <c r="B410" i="17"/>
  <c r="H398" i="17"/>
  <c r="G398" i="17"/>
  <c r="F398" i="17"/>
  <c r="E398" i="17"/>
  <c r="C398" i="17"/>
  <c r="B398" i="17"/>
  <c r="H397" i="17"/>
  <c r="G397" i="17"/>
  <c r="F397" i="17"/>
  <c r="E397" i="17"/>
  <c r="C397" i="17"/>
  <c r="B397" i="17"/>
  <c r="H396" i="17"/>
  <c r="G396" i="17"/>
  <c r="F396" i="17"/>
  <c r="E396" i="17"/>
  <c r="D396" i="17" s="1"/>
  <c r="C396" i="17"/>
  <c r="B396" i="17"/>
  <c r="H395" i="17"/>
  <c r="G395" i="17"/>
  <c r="F395" i="17"/>
  <c r="E395" i="17"/>
  <c r="C395" i="17"/>
  <c r="B395" i="17"/>
  <c r="H393" i="17"/>
  <c r="G393" i="17"/>
  <c r="F393" i="17"/>
  <c r="E393" i="17"/>
  <c r="C393" i="17"/>
  <c r="B393" i="17"/>
  <c r="H392" i="17"/>
  <c r="G392" i="17"/>
  <c r="D392" i="17" s="1"/>
  <c r="F392" i="17"/>
  <c r="E392" i="17"/>
  <c r="C392" i="17"/>
  <c r="B392" i="17"/>
  <c r="H391" i="17"/>
  <c r="G391" i="17"/>
  <c r="F391" i="17"/>
  <c r="E391" i="17"/>
  <c r="D391" i="17" s="1"/>
  <c r="C391" i="17"/>
  <c r="B391" i="17"/>
  <c r="H390" i="17"/>
  <c r="G390" i="17"/>
  <c r="F390" i="17"/>
  <c r="E390" i="17"/>
  <c r="C390" i="17"/>
  <c r="B390" i="17"/>
  <c r="H388" i="17"/>
  <c r="G388" i="17"/>
  <c r="F388" i="17"/>
  <c r="E388" i="17"/>
  <c r="C388" i="17"/>
  <c r="B388" i="17"/>
  <c r="H387" i="17"/>
  <c r="G387" i="17"/>
  <c r="D387" i="17" s="1"/>
  <c r="Q387" i="17" s="1"/>
  <c r="F387" i="17"/>
  <c r="E387" i="17"/>
  <c r="C387" i="17"/>
  <c r="B387" i="17"/>
  <c r="H386" i="17"/>
  <c r="G386" i="17"/>
  <c r="F386" i="17"/>
  <c r="E386" i="17"/>
  <c r="D386" i="17" s="1"/>
  <c r="Q386" i="17" s="1"/>
  <c r="C386" i="17"/>
  <c r="B386" i="17"/>
  <c r="H385" i="17"/>
  <c r="G385" i="17"/>
  <c r="F385" i="17"/>
  <c r="E385" i="17"/>
  <c r="D385" i="17" s="1"/>
  <c r="C385" i="17"/>
  <c r="B385" i="17"/>
  <c r="H383" i="17"/>
  <c r="G383" i="17"/>
  <c r="F383" i="17"/>
  <c r="E383" i="17"/>
  <c r="C383" i="17"/>
  <c r="B383" i="17"/>
  <c r="Q383" i="17" s="1"/>
  <c r="H382" i="17"/>
  <c r="G382" i="17"/>
  <c r="F382" i="17"/>
  <c r="E382" i="17"/>
  <c r="C382" i="17"/>
  <c r="B382" i="17"/>
  <c r="H381" i="17"/>
  <c r="G381" i="17"/>
  <c r="F381" i="17"/>
  <c r="E381" i="17"/>
  <c r="D381" i="17" s="1"/>
  <c r="Q381" i="17" s="1"/>
  <c r="C381" i="17"/>
  <c r="B381" i="17"/>
  <c r="H380" i="17"/>
  <c r="G380" i="17"/>
  <c r="F380" i="17"/>
  <c r="E380" i="17"/>
  <c r="C380" i="17"/>
  <c r="B380" i="17"/>
  <c r="H367" i="17"/>
  <c r="G367" i="17"/>
  <c r="F367" i="17"/>
  <c r="E367" i="17"/>
  <c r="C367" i="17"/>
  <c r="B367" i="17"/>
  <c r="H366" i="17"/>
  <c r="G366" i="17"/>
  <c r="D366" i="17" s="1"/>
  <c r="Q366" i="17" s="1"/>
  <c r="F366" i="17"/>
  <c r="E366" i="17"/>
  <c r="C366" i="17"/>
  <c r="B366" i="17"/>
  <c r="H365" i="17"/>
  <c r="G365" i="17"/>
  <c r="F365" i="17"/>
  <c r="E365" i="17"/>
  <c r="C365" i="17"/>
  <c r="B365" i="17"/>
  <c r="H364" i="17"/>
  <c r="G364" i="17"/>
  <c r="F364" i="17"/>
  <c r="E364" i="17"/>
  <c r="C364" i="17"/>
  <c r="B364" i="17"/>
  <c r="H362" i="17"/>
  <c r="G362" i="17"/>
  <c r="F362" i="17"/>
  <c r="E362" i="17"/>
  <c r="C362" i="17"/>
  <c r="B362" i="17"/>
  <c r="H361" i="17"/>
  <c r="G361" i="17"/>
  <c r="F361" i="17"/>
  <c r="E361" i="17"/>
  <c r="C361" i="17"/>
  <c r="B361" i="17"/>
  <c r="H360" i="17"/>
  <c r="G360" i="17"/>
  <c r="F360" i="17"/>
  <c r="E360" i="17"/>
  <c r="D360" i="17" s="1"/>
  <c r="C360" i="17"/>
  <c r="B360" i="17"/>
  <c r="H359" i="17"/>
  <c r="G359" i="17"/>
  <c r="F359" i="17"/>
  <c r="E359" i="17"/>
  <c r="C359" i="17"/>
  <c r="B359" i="17"/>
  <c r="H357" i="17"/>
  <c r="G357" i="17"/>
  <c r="F357" i="17"/>
  <c r="E357" i="17"/>
  <c r="C357" i="17"/>
  <c r="B357" i="17"/>
  <c r="H356" i="17"/>
  <c r="G356" i="17"/>
  <c r="D356" i="17" s="1"/>
  <c r="F356" i="17"/>
  <c r="E356" i="17"/>
  <c r="C356" i="17"/>
  <c r="B356" i="17"/>
  <c r="H355" i="17"/>
  <c r="G355" i="17"/>
  <c r="F355" i="17"/>
  <c r="E355" i="17"/>
  <c r="D355" i="17" s="1"/>
  <c r="Q355" i="17" s="1"/>
  <c r="C355" i="17"/>
  <c r="B355" i="17"/>
  <c r="H354" i="17"/>
  <c r="G354" i="17"/>
  <c r="F354" i="17"/>
  <c r="E354" i="17"/>
  <c r="D354" i="17" s="1"/>
  <c r="C354" i="17"/>
  <c r="B354" i="17"/>
  <c r="H352" i="17"/>
  <c r="G352" i="17"/>
  <c r="F352" i="17"/>
  <c r="E352" i="17"/>
  <c r="C352" i="17"/>
  <c r="B352" i="17"/>
  <c r="Q352" i="17" s="1"/>
  <c r="H351" i="17"/>
  <c r="G351" i="17"/>
  <c r="D351" i="17" s="1"/>
  <c r="Q351" i="17" s="1"/>
  <c r="F351" i="17"/>
  <c r="E351" i="17"/>
  <c r="C351" i="17"/>
  <c r="B351" i="17"/>
  <c r="H350" i="17"/>
  <c r="G350" i="17"/>
  <c r="F350" i="17"/>
  <c r="E350" i="17"/>
  <c r="C350" i="17"/>
  <c r="B350" i="17"/>
  <c r="H349" i="17"/>
  <c r="G349" i="17"/>
  <c r="F349" i="17"/>
  <c r="E349" i="17"/>
  <c r="D349" i="17" s="1"/>
  <c r="C349" i="17"/>
  <c r="B349" i="17"/>
  <c r="Q349" i="17" s="1"/>
  <c r="H336" i="17"/>
  <c r="G336" i="17"/>
  <c r="F336" i="17"/>
  <c r="E336" i="17"/>
  <c r="C336" i="17"/>
  <c r="B336" i="17"/>
  <c r="H335" i="17"/>
  <c r="G335" i="17"/>
  <c r="D335" i="17" s="1"/>
  <c r="Q335" i="17" s="1"/>
  <c r="F335" i="17"/>
  <c r="E335" i="17"/>
  <c r="C335" i="17"/>
  <c r="B335" i="17"/>
  <c r="H334" i="17"/>
  <c r="G334" i="17"/>
  <c r="F334" i="17"/>
  <c r="E334" i="17"/>
  <c r="D334" i="17" s="1"/>
  <c r="C334" i="17"/>
  <c r="B334" i="17"/>
  <c r="H333" i="17"/>
  <c r="G333" i="17"/>
  <c r="F333" i="17"/>
  <c r="E333" i="17"/>
  <c r="D333" i="17" s="1"/>
  <c r="C333" i="17"/>
  <c r="B333" i="17"/>
  <c r="H331" i="17"/>
  <c r="G331" i="17"/>
  <c r="F331" i="17"/>
  <c r="E331" i="17"/>
  <c r="C331" i="17"/>
  <c r="B331" i="17"/>
  <c r="Q331" i="17" s="1"/>
  <c r="H330" i="17"/>
  <c r="G330" i="17"/>
  <c r="D330" i="17" s="1"/>
  <c r="Q330" i="17" s="1"/>
  <c r="F330" i="17"/>
  <c r="E330" i="17"/>
  <c r="C330" i="17"/>
  <c r="B330" i="17"/>
  <c r="H329" i="17"/>
  <c r="G329" i="17"/>
  <c r="F329" i="17"/>
  <c r="E329" i="17"/>
  <c r="D329" i="17" s="1"/>
  <c r="Q329" i="17" s="1"/>
  <c r="C329" i="17"/>
  <c r="B329" i="17"/>
  <c r="H328" i="17"/>
  <c r="G328" i="17"/>
  <c r="F328" i="17"/>
  <c r="E328" i="17"/>
  <c r="D328" i="17" s="1"/>
  <c r="C328" i="17"/>
  <c r="B328" i="17"/>
  <c r="H326" i="17"/>
  <c r="G326" i="17"/>
  <c r="F326" i="17"/>
  <c r="E326" i="17"/>
  <c r="C326" i="17"/>
  <c r="B326" i="17"/>
  <c r="H325" i="17"/>
  <c r="G325" i="17"/>
  <c r="D325" i="17" s="1"/>
  <c r="F325" i="17"/>
  <c r="E325" i="17"/>
  <c r="C325" i="17"/>
  <c r="B325" i="17"/>
  <c r="H324" i="17"/>
  <c r="G324" i="17"/>
  <c r="F324" i="17"/>
  <c r="E324" i="17"/>
  <c r="C324" i="17"/>
  <c r="B324" i="17"/>
  <c r="H323" i="17"/>
  <c r="G323" i="17"/>
  <c r="F323" i="17"/>
  <c r="E323" i="17"/>
  <c r="C323" i="17"/>
  <c r="B323" i="17"/>
  <c r="H321" i="17"/>
  <c r="G321" i="17"/>
  <c r="F321" i="17"/>
  <c r="E321" i="17"/>
  <c r="C321" i="17"/>
  <c r="B321" i="17"/>
  <c r="H320" i="17"/>
  <c r="G320" i="17"/>
  <c r="F320" i="17"/>
  <c r="E320" i="17"/>
  <c r="C320" i="17"/>
  <c r="B320" i="17"/>
  <c r="H319" i="17"/>
  <c r="G319" i="17"/>
  <c r="F319" i="17"/>
  <c r="E319" i="17"/>
  <c r="D319" i="17" s="1"/>
  <c r="C319" i="17"/>
  <c r="B319" i="17"/>
  <c r="H318" i="17"/>
  <c r="G318" i="17"/>
  <c r="F318" i="17"/>
  <c r="E318" i="17"/>
  <c r="C318" i="17"/>
  <c r="B318" i="17"/>
  <c r="H305" i="17"/>
  <c r="G305" i="17"/>
  <c r="F305" i="17"/>
  <c r="E305" i="17"/>
  <c r="C305" i="17"/>
  <c r="B305" i="17"/>
  <c r="H304" i="17"/>
  <c r="G304" i="17"/>
  <c r="D304" i="17" s="1"/>
  <c r="F304" i="17"/>
  <c r="E304" i="17"/>
  <c r="C304" i="17"/>
  <c r="B304" i="17"/>
  <c r="H303" i="17"/>
  <c r="G303" i="17"/>
  <c r="F303" i="17"/>
  <c r="E303" i="17"/>
  <c r="D303" i="17" s="1"/>
  <c r="C303" i="17"/>
  <c r="B303" i="17"/>
  <c r="H302" i="17"/>
  <c r="G302" i="17"/>
  <c r="F302" i="17"/>
  <c r="E302" i="17"/>
  <c r="C302" i="17"/>
  <c r="B302" i="17"/>
  <c r="H300" i="17"/>
  <c r="G300" i="17"/>
  <c r="F300" i="17"/>
  <c r="D300" i="17" s="1"/>
  <c r="E300" i="17"/>
  <c r="C300" i="17"/>
  <c r="B300" i="17"/>
  <c r="H299" i="17"/>
  <c r="G299" i="17"/>
  <c r="F299" i="17"/>
  <c r="E299" i="17"/>
  <c r="C299" i="17"/>
  <c r="B299" i="17"/>
  <c r="H298" i="17"/>
  <c r="G298" i="17"/>
  <c r="F298" i="17"/>
  <c r="E298" i="17"/>
  <c r="D298" i="17" s="1"/>
  <c r="C298" i="17"/>
  <c r="B298" i="17"/>
  <c r="H297" i="17"/>
  <c r="G297" i="17"/>
  <c r="F297" i="17"/>
  <c r="E297" i="17"/>
  <c r="D297" i="17" s="1"/>
  <c r="C297" i="17"/>
  <c r="B297" i="17"/>
  <c r="H295" i="17"/>
  <c r="G295" i="17"/>
  <c r="F295" i="17"/>
  <c r="E295" i="17"/>
  <c r="C295" i="17"/>
  <c r="B295" i="17"/>
  <c r="H294" i="17"/>
  <c r="G294" i="17"/>
  <c r="D294" i="17" s="1"/>
  <c r="F294" i="17"/>
  <c r="E294" i="17"/>
  <c r="C294" i="17"/>
  <c r="B294" i="17"/>
  <c r="H293" i="17"/>
  <c r="G293" i="17"/>
  <c r="F293" i="17"/>
  <c r="E293" i="17"/>
  <c r="D293" i="17" s="1"/>
  <c r="Q293" i="17" s="1"/>
  <c r="C293" i="17"/>
  <c r="B293" i="17"/>
  <c r="H292" i="17"/>
  <c r="G292" i="17"/>
  <c r="F292" i="17"/>
  <c r="E292" i="17"/>
  <c r="D292" i="17" s="1"/>
  <c r="C292" i="17"/>
  <c r="B292" i="17"/>
  <c r="H290" i="17"/>
  <c r="G290" i="17"/>
  <c r="F290" i="17"/>
  <c r="D290" i="17" s="1"/>
  <c r="E290" i="17"/>
  <c r="C290" i="17"/>
  <c r="B290" i="17"/>
  <c r="Q290" i="17" s="1"/>
  <c r="H289" i="17"/>
  <c r="G289" i="17"/>
  <c r="D289" i="17" s="1"/>
  <c r="Q289" i="17" s="1"/>
  <c r="F289" i="17"/>
  <c r="E289" i="17"/>
  <c r="C289" i="17"/>
  <c r="B289" i="17"/>
  <c r="H288" i="17"/>
  <c r="G288" i="17"/>
  <c r="F288" i="17"/>
  <c r="E288" i="17"/>
  <c r="C288" i="17"/>
  <c r="B288" i="17"/>
  <c r="H287" i="17"/>
  <c r="G287" i="17"/>
  <c r="F287" i="17"/>
  <c r="E287" i="17"/>
  <c r="C287" i="17"/>
  <c r="B287" i="17"/>
  <c r="H274" i="17"/>
  <c r="G274" i="17"/>
  <c r="F274" i="17"/>
  <c r="E274" i="17"/>
  <c r="C274" i="17"/>
  <c r="B274" i="17"/>
  <c r="H273" i="17"/>
  <c r="G273" i="17"/>
  <c r="F273" i="17"/>
  <c r="E273" i="17"/>
  <c r="C273" i="17"/>
  <c r="B273" i="17"/>
  <c r="H272" i="17"/>
  <c r="G272" i="17"/>
  <c r="F272" i="17"/>
  <c r="E272" i="17"/>
  <c r="D272" i="17" s="1"/>
  <c r="C272" i="17"/>
  <c r="B272" i="17"/>
  <c r="H271" i="17"/>
  <c r="G271" i="17"/>
  <c r="F271" i="17"/>
  <c r="E271" i="17"/>
  <c r="C271" i="17"/>
  <c r="B271" i="17"/>
  <c r="H269" i="17"/>
  <c r="G269" i="17"/>
  <c r="F269" i="17"/>
  <c r="E269" i="17"/>
  <c r="C269" i="17"/>
  <c r="B269" i="17"/>
  <c r="H268" i="17"/>
  <c r="G268" i="17"/>
  <c r="D268" i="17" s="1"/>
  <c r="F268" i="17"/>
  <c r="E268" i="17"/>
  <c r="C268" i="17"/>
  <c r="B268" i="17"/>
  <c r="H267" i="17"/>
  <c r="G267" i="17"/>
  <c r="F267" i="17"/>
  <c r="E267" i="17"/>
  <c r="D267" i="17" s="1"/>
  <c r="C267" i="17"/>
  <c r="B267" i="17"/>
  <c r="H266" i="17"/>
  <c r="G266" i="17"/>
  <c r="F266" i="17"/>
  <c r="E266" i="17"/>
  <c r="C266" i="17"/>
  <c r="B266" i="17"/>
  <c r="H264" i="17"/>
  <c r="G264" i="17"/>
  <c r="F264" i="17"/>
  <c r="D264" i="17" s="1"/>
  <c r="E264" i="17"/>
  <c r="C264" i="17"/>
  <c r="B264" i="17"/>
  <c r="H263" i="17"/>
  <c r="G263" i="17"/>
  <c r="F263" i="17"/>
  <c r="E263" i="17"/>
  <c r="C263" i="17"/>
  <c r="B263" i="17"/>
  <c r="H262" i="17"/>
  <c r="G262" i="17"/>
  <c r="F262" i="17"/>
  <c r="E262" i="17"/>
  <c r="D262" i="17" s="1"/>
  <c r="C262" i="17"/>
  <c r="B262" i="17"/>
  <c r="H261" i="17"/>
  <c r="G261" i="17"/>
  <c r="F261" i="17"/>
  <c r="E261" i="17"/>
  <c r="D261" i="17" s="1"/>
  <c r="C261" i="17"/>
  <c r="B261" i="17"/>
  <c r="H259" i="17"/>
  <c r="G259" i="17"/>
  <c r="F259" i="17"/>
  <c r="E259" i="17"/>
  <c r="C259" i="17"/>
  <c r="B259" i="17"/>
  <c r="H258" i="17"/>
  <c r="G258" i="17"/>
  <c r="F258" i="17"/>
  <c r="E258" i="17"/>
  <c r="C258" i="17"/>
  <c r="B258" i="17"/>
  <c r="H257" i="17"/>
  <c r="G257" i="17"/>
  <c r="F257" i="17"/>
  <c r="E257" i="17"/>
  <c r="D257" i="17" s="1"/>
  <c r="Q257" i="17" s="1"/>
  <c r="C257" i="17"/>
  <c r="B257" i="17"/>
  <c r="H256" i="17"/>
  <c r="G256" i="17"/>
  <c r="F256" i="17"/>
  <c r="E256" i="17"/>
  <c r="D256" i="17" s="1"/>
  <c r="C256" i="17"/>
  <c r="B256" i="17"/>
  <c r="H243" i="17"/>
  <c r="G243" i="17"/>
  <c r="F243" i="17"/>
  <c r="E243" i="17"/>
  <c r="C243" i="17"/>
  <c r="B243" i="17"/>
  <c r="H242" i="17"/>
  <c r="G242" i="17"/>
  <c r="D242" i="17" s="1"/>
  <c r="Q242" i="17" s="1"/>
  <c r="F242" i="17"/>
  <c r="E242" i="17"/>
  <c r="C242" i="17"/>
  <c r="B242" i="17"/>
  <c r="H241" i="17"/>
  <c r="G241" i="17"/>
  <c r="F241" i="17"/>
  <c r="E241" i="17"/>
  <c r="C241" i="17"/>
  <c r="B241" i="17"/>
  <c r="H240" i="17"/>
  <c r="G240" i="17"/>
  <c r="F240" i="17"/>
  <c r="E240" i="17"/>
  <c r="D240" i="17" s="1"/>
  <c r="C240" i="17"/>
  <c r="B240" i="17"/>
  <c r="H238" i="17"/>
  <c r="G238" i="17"/>
  <c r="F238" i="17"/>
  <c r="E238" i="17"/>
  <c r="C238" i="17"/>
  <c r="B238" i="17"/>
  <c r="H237" i="17"/>
  <c r="G237" i="17"/>
  <c r="D237" i="17" s="1"/>
  <c r="Q237" i="17" s="1"/>
  <c r="F237" i="17"/>
  <c r="E237" i="17"/>
  <c r="C237" i="17"/>
  <c r="B237" i="17"/>
  <c r="H236" i="17"/>
  <c r="G236" i="17"/>
  <c r="F236" i="17"/>
  <c r="E236" i="17"/>
  <c r="D236" i="17" s="1"/>
  <c r="Q236" i="17" s="1"/>
  <c r="C236" i="17"/>
  <c r="B236" i="17"/>
  <c r="H235" i="17"/>
  <c r="G235" i="17"/>
  <c r="F235" i="17"/>
  <c r="E235" i="17"/>
  <c r="C235" i="17"/>
  <c r="B235" i="17"/>
  <c r="H233" i="17"/>
  <c r="G233" i="17"/>
  <c r="F233" i="17"/>
  <c r="D233" i="17" s="1"/>
  <c r="E233" i="17"/>
  <c r="C233" i="17"/>
  <c r="B233" i="17"/>
  <c r="H232" i="17"/>
  <c r="G232" i="17"/>
  <c r="D232" i="17" s="1"/>
  <c r="F232" i="17"/>
  <c r="E232" i="17"/>
  <c r="C232" i="17"/>
  <c r="B232" i="17"/>
  <c r="H231" i="17"/>
  <c r="G231" i="17"/>
  <c r="F231" i="17"/>
  <c r="E231" i="17"/>
  <c r="D231" i="17" s="1"/>
  <c r="C231" i="17"/>
  <c r="B231" i="17"/>
  <c r="H230" i="17"/>
  <c r="G230" i="17"/>
  <c r="F230" i="17"/>
  <c r="E230" i="17"/>
  <c r="D230" i="17" s="1"/>
  <c r="C230" i="17"/>
  <c r="B230" i="17"/>
  <c r="H228" i="17"/>
  <c r="G228" i="17"/>
  <c r="F228" i="17"/>
  <c r="E228" i="17"/>
  <c r="C228" i="17"/>
  <c r="B228" i="17"/>
  <c r="H227" i="17"/>
  <c r="G227" i="17"/>
  <c r="D227" i="17" s="1"/>
  <c r="Q227" i="17" s="1"/>
  <c r="F227" i="17"/>
  <c r="E227" i="17"/>
  <c r="C227" i="17"/>
  <c r="B227" i="17"/>
  <c r="H226" i="17"/>
  <c r="G226" i="17"/>
  <c r="F226" i="17"/>
  <c r="E226" i="17"/>
  <c r="D226" i="17" s="1"/>
  <c r="C226" i="17"/>
  <c r="B226" i="17"/>
  <c r="H225" i="17"/>
  <c r="G225" i="17"/>
  <c r="F225" i="17"/>
  <c r="E225" i="17"/>
  <c r="D225" i="17" s="1"/>
  <c r="C225" i="17"/>
  <c r="B225" i="17"/>
  <c r="P212" i="17"/>
  <c r="O212" i="17"/>
  <c r="N212" i="17"/>
  <c r="L212" i="17" s="1"/>
  <c r="M212" i="17"/>
  <c r="K212" i="17"/>
  <c r="J212" i="17"/>
  <c r="H212" i="17"/>
  <c r="G212" i="17"/>
  <c r="D212" i="17" s="1"/>
  <c r="F212" i="17"/>
  <c r="E212" i="17"/>
  <c r="C212" i="17"/>
  <c r="B212" i="17"/>
  <c r="P211" i="17"/>
  <c r="O211" i="17"/>
  <c r="N211" i="17"/>
  <c r="M211" i="17"/>
  <c r="L211" i="17" s="1"/>
  <c r="K211" i="17"/>
  <c r="J211" i="17"/>
  <c r="H211" i="17"/>
  <c r="G211" i="17"/>
  <c r="F211" i="17"/>
  <c r="E211" i="17"/>
  <c r="C211" i="17"/>
  <c r="B211" i="17"/>
  <c r="P210" i="17"/>
  <c r="O210" i="17"/>
  <c r="N210" i="17"/>
  <c r="L210" i="17" s="1"/>
  <c r="M210" i="17"/>
  <c r="K210" i="17"/>
  <c r="J210" i="17"/>
  <c r="R210" i="17" s="1"/>
  <c r="H210" i="17"/>
  <c r="G210" i="17"/>
  <c r="D210" i="17" s="1"/>
  <c r="F210" i="17"/>
  <c r="E210" i="17"/>
  <c r="C210" i="17"/>
  <c r="B210" i="17"/>
  <c r="P209" i="17"/>
  <c r="O209" i="17"/>
  <c r="N209" i="17"/>
  <c r="M209" i="17"/>
  <c r="L209" i="17" s="1"/>
  <c r="R209" i="17" s="1"/>
  <c r="K209" i="17"/>
  <c r="J209" i="17"/>
  <c r="H209" i="17"/>
  <c r="G209" i="17"/>
  <c r="F209" i="17"/>
  <c r="E209" i="17"/>
  <c r="C209" i="17"/>
  <c r="B209" i="17"/>
  <c r="P207" i="17"/>
  <c r="O207" i="17"/>
  <c r="N207" i="17"/>
  <c r="L207" i="17" s="1"/>
  <c r="M207" i="17"/>
  <c r="K207" i="17"/>
  <c r="J207" i="17"/>
  <c r="H207" i="17"/>
  <c r="G207" i="17"/>
  <c r="D207" i="17" s="1"/>
  <c r="F207" i="17"/>
  <c r="E207" i="17"/>
  <c r="C207" i="17"/>
  <c r="B207" i="17"/>
  <c r="P206" i="17"/>
  <c r="O206" i="17"/>
  <c r="N206" i="17"/>
  <c r="M206" i="17"/>
  <c r="L206" i="17" s="1"/>
  <c r="K206" i="17"/>
  <c r="J206" i="17"/>
  <c r="H206" i="17"/>
  <c r="G206" i="17"/>
  <c r="F206" i="17"/>
  <c r="E206" i="17"/>
  <c r="C206" i="17"/>
  <c r="B206" i="17"/>
  <c r="Q206" i="17" s="1"/>
  <c r="P205" i="17"/>
  <c r="O205" i="17"/>
  <c r="N205" i="17"/>
  <c r="M205" i="17"/>
  <c r="K205" i="17"/>
  <c r="J205" i="17"/>
  <c r="R205" i="17" s="1"/>
  <c r="H205" i="17"/>
  <c r="G205" i="17"/>
  <c r="D205" i="17" s="1"/>
  <c r="Q205" i="17" s="1"/>
  <c r="F205" i="17"/>
  <c r="E205" i="17"/>
  <c r="C205" i="17"/>
  <c r="B205" i="17"/>
  <c r="P204" i="17"/>
  <c r="O204" i="17"/>
  <c r="N204" i="17"/>
  <c r="M204" i="17"/>
  <c r="L204" i="17" s="1"/>
  <c r="K204" i="17"/>
  <c r="J204" i="17"/>
  <c r="H204" i="17"/>
  <c r="G204" i="17"/>
  <c r="F204" i="17"/>
  <c r="E204" i="17"/>
  <c r="D204" i="17" s="1"/>
  <c r="C204" i="17"/>
  <c r="B204" i="17"/>
  <c r="P202" i="17"/>
  <c r="O202" i="17"/>
  <c r="N202" i="17"/>
  <c r="M202" i="17"/>
  <c r="K202" i="17"/>
  <c r="J202" i="17"/>
  <c r="H202" i="17"/>
  <c r="G202" i="17"/>
  <c r="F202" i="17"/>
  <c r="E202" i="17"/>
  <c r="C202" i="17"/>
  <c r="B202" i="17"/>
  <c r="P201" i="17"/>
  <c r="O201" i="17"/>
  <c r="N201" i="17"/>
  <c r="M201" i="17"/>
  <c r="L201" i="17" s="1"/>
  <c r="K201" i="17"/>
  <c r="J201" i="17"/>
  <c r="H201" i="17"/>
  <c r="G201" i="17"/>
  <c r="F201" i="17"/>
  <c r="E201" i="17"/>
  <c r="D201" i="17" s="1"/>
  <c r="C201" i="17"/>
  <c r="B201" i="17"/>
  <c r="P200" i="17"/>
  <c r="O200" i="17"/>
  <c r="N200" i="17"/>
  <c r="M200" i="17"/>
  <c r="K200" i="17"/>
  <c r="J200" i="17"/>
  <c r="H200" i="17"/>
  <c r="G200" i="17"/>
  <c r="D200" i="17" s="1"/>
  <c r="F200" i="17"/>
  <c r="E200" i="17"/>
  <c r="C200" i="17"/>
  <c r="B200" i="17"/>
  <c r="P199" i="17"/>
  <c r="O199" i="17"/>
  <c r="N199" i="17"/>
  <c r="M199" i="17"/>
  <c r="L199" i="17" s="1"/>
  <c r="R199" i="17" s="1"/>
  <c r="K199" i="17"/>
  <c r="J199" i="17"/>
  <c r="H199" i="17"/>
  <c r="G199" i="17"/>
  <c r="F199" i="17"/>
  <c r="E199" i="17"/>
  <c r="C199" i="17"/>
  <c r="B199" i="17"/>
  <c r="P197" i="17"/>
  <c r="O197" i="17"/>
  <c r="N197" i="17"/>
  <c r="M197" i="17"/>
  <c r="K197" i="17"/>
  <c r="J197" i="17"/>
  <c r="H197" i="17"/>
  <c r="G197" i="17"/>
  <c r="D197" i="17" s="1"/>
  <c r="F197" i="17"/>
  <c r="E197" i="17"/>
  <c r="C197" i="17"/>
  <c r="B197" i="17"/>
  <c r="P196" i="17"/>
  <c r="O196" i="17"/>
  <c r="N196" i="17"/>
  <c r="M196" i="17"/>
  <c r="L196" i="17" s="1"/>
  <c r="R196" i="17" s="1"/>
  <c r="K196" i="17"/>
  <c r="J196" i="17"/>
  <c r="H196" i="17"/>
  <c r="G196" i="17"/>
  <c r="F196" i="17"/>
  <c r="E196" i="17"/>
  <c r="D196" i="17" s="1"/>
  <c r="C196" i="17"/>
  <c r="B196" i="17"/>
  <c r="Q196" i="17" s="1"/>
  <c r="P195" i="17"/>
  <c r="O195" i="17"/>
  <c r="N195" i="17"/>
  <c r="M195" i="17"/>
  <c r="K195" i="17"/>
  <c r="J195" i="17"/>
  <c r="H195" i="17"/>
  <c r="G195" i="17"/>
  <c r="D195" i="17" s="1"/>
  <c r="Q195" i="17" s="1"/>
  <c r="F195" i="17"/>
  <c r="E195" i="17"/>
  <c r="C195" i="17"/>
  <c r="B195" i="17"/>
  <c r="P194" i="17"/>
  <c r="O194" i="17"/>
  <c r="N194" i="17"/>
  <c r="M194" i="17"/>
  <c r="L194" i="17" s="1"/>
  <c r="K194" i="17"/>
  <c r="J194" i="17"/>
  <c r="H194" i="17"/>
  <c r="G194" i="17"/>
  <c r="F194" i="17"/>
  <c r="E194" i="17"/>
  <c r="D194" i="17" s="1"/>
  <c r="C194" i="17"/>
  <c r="B194" i="17"/>
  <c r="P182" i="17"/>
  <c r="O182" i="17"/>
  <c r="N182" i="17"/>
  <c r="M182" i="17"/>
  <c r="K182" i="17"/>
  <c r="J182" i="17"/>
  <c r="H182" i="17"/>
  <c r="G182" i="17"/>
  <c r="D182" i="17" s="1"/>
  <c r="Q182" i="17" s="1"/>
  <c r="F182" i="17"/>
  <c r="E182" i="17"/>
  <c r="C182" i="17"/>
  <c r="B182" i="17"/>
  <c r="P181" i="17"/>
  <c r="O181" i="17"/>
  <c r="N181" i="17"/>
  <c r="M181" i="17"/>
  <c r="L181" i="17" s="1"/>
  <c r="K181" i="17"/>
  <c r="J181" i="17"/>
  <c r="H181" i="17"/>
  <c r="G181" i="17"/>
  <c r="F181" i="17"/>
  <c r="E181" i="17"/>
  <c r="C181" i="17"/>
  <c r="B181" i="17"/>
  <c r="P180" i="17"/>
  <c r="O180" i="17"/>
  <c r="N180" i="17"/>
  <c r="M180" i="17"/>
  <c r="K180" i="17"/>
  <c r="J180" i="17"/>
  <c r="H180" i="17"/>
  <c r="G180" i="17"/>
  <c r="D180" i="17" s="1"/>
  <c r="Q180" i="17" s="1"/>
  <c r="F180" i="17"/>
  <c r="E180" i="17"/>
  <c r="C180" i="17"/>
  <c r="B180" i="17"/>
  <c r="P179" i="17"/>
  <c r="O179" i="17"/>
  <c r="N179" i="17"/>
  <c r="M179" i="17"/>
  <c r="L179" i="17" s="1"/>
  <c r="K179" i="17"/>
  <c r="J179" i="17"/>
  <c r="H179" i="17"/>
  <c r="G179" i="17"/>
  <c r="F179" i="17"/>
  <c r="E179" i="17"/>
  <c r="D179" i="17" s="1"/>
  <c r="C179" i="17"/>
  <c r="B179" i="17"/>
  <c r="P177" i="17"/>
  <c r="O177" i="17"/>
  <c r="N177" i="17"/>
  <c r="M177" i="17"/>
  <c r="K177" i="17"/>
  <c r="J177" i="17"/>
  <c r="H177" i="17"/>
  <c r="G177" i="17"/>
  <c r="D177" i="17" s="1"/>
  <c r="F177" i="17"/>
  <c r="E177" i="17"/>
  <c r="C177" i="17"/>
  <c r="B177" i="17"/>
  <c r="P176" i="17"/>
  <c r="O176" i="17"/>
  <c r="N176" i="17"/>
  <c r="M176" i="17"/>
  <c r="L176" i="17" s="1"/>
  <c r="K176" i="17"/>
  <c r="J176" i="17"/>
  <c r="H176" i="17"/>
  <c r="G176" i="17"/>
  <c r="F176" i="17"/>
  <c r="E176" i="17"/>
  <c r="C176" i="17"/>
  <c r="B176" i="17"/>
  <c r="P175" i="17"/>
  <c r="O175" i="17"/>
  <c r="N175" i="17"/>
  <c r="L175" i="17" s="1"/>
  <c r="M175" i="17"/>
  <c r="K175" i="17"/>
  <c r="J175" i="17"/>
  <c r="R175" i="17" s="1"/>
  <c r="H175" i="17"/>
  <c r="G175" i="17"/>
  <c r="D175" i="17" s="1"/>
  <c r="F175" i="17"/>
  <c r="E175" i="17"/>
  <c r="C175" i="17"/>
  <c r="B175" i="17"/>
  <c r="P174" i="17"/>
  <c r="O174" i="17"/>
  <c r="N174" i="17"/>
  <c r="M174" i="17"/>
  <c r="L174" i="17" s="1"/>
  <c r="R174" i="17" s="1"/>
  <c r="K174" i="17"/>
  <c r="J174" i="17"/>
  <c r="H174" i="17"/>
  <c r="G174" i="17"/>
  <c r="F174" i="17"/>
  <c r="E174" i="17"/>
  <c r="C174" i="17"/>
  <c r="B174" i="17"/>
  <c r="P172" i="17"/>
  <c r="O172" i="17"/>
  <c r="N172" i="17"/>
  <c r="M172" i="17"/>
  <c r="K172" i="17"/>
  <c r="J172" i="17"/>
  <c r="H172" i="17"/>
  <c r="G172" i="17"/>
  <c r="D172" i="17" s="1"/>
  <c r="F172" i="17"/>
  <c r="E172" i="17"/>
  <c r="C172" i="17"/>
  <c r="B172" i="17"/>
  <c r="P171" i="17"/>
  <c r="O171" i="17"/>
  <c r="N171" i="17"/>
  <c r="M171" i="17"/>
  <c r="L171" i="17" s="1"/>
  <c r="K171" i="17"/>
  <c r="J171" i="17"/>
  <c r="H171" i="17"/>
  <c r="G171" i="17"/>
  <c r="F171" i="17"/>
  <c r="E171" i="17"/>
  <c r="C171" i="17"/>
  <c r="B171" i="17"/>
  <c r="P170" i="17"/>
  <c r="O170" i="17"/>
  <c r="N170" i="17"/>
  <c r="M170" i="17"/>
  <c r="K170" i="17"/>
  <c r="J170" i="17"/>
  <c r="H170" i="17"/>
  <c r="G170" i="17"/>
  <c r="D170" i="17" s="1"/>
  <c r="Q170" i="17" s="1"/>
  <c r="F170" i="17"/>
  <c r="E170" i="17"/>
  <c r="C170" i="17"/>
  <c r="B170" i="17"/>
  <c r="P169" i="17"/>
  <c r="O169" i="17"/>
  <c r="N169" i="17"/>
  <c r="M169" i="17"/>
  <c r="L169" i="17" s="1"/>
  <c r="K169" i="17"/>
  <c r="J169" i="17"/>
  <c r="H169" i="17"/>
  <c r="G169" i="17"/>
  <c r="F169" i="17"/>
  <c r="E169" i="17"/>
  <c r="D169" i="17" s="1"/>
  <c r="C169" i="17"/>
  <c r="B169" i="17"/>
  <c r="Q169" i="17" s="1"/>
  <c r="P167" i="17"/>
  <c r="O167" i="17"/>
  <c r="N167" i="17"/>
  <c r="L167" i="17" s="1"/>
  <c r="R167" i="17" s="1"/>
  <c r="M167" i="17"/>
  <c r="K167" i="17"/>
  <c r="J167" i="17"/>
  <c r="H167" i="17"/>
  <c r="G167" i="17"/>
  <c r="F167" i="17"/>
  <c r="E167" i="17"/>
  <c r="C167" i="17"/>
  <c r="B167" i="17"/>
  <c r="P166" i="17"/>
  <c r="O166" i="17"/>
  <c r="N166" i="17"/>
  <c r="M166" i="17"/>
  <c r="K166" i="17"/>
  <c r="J166" i="17"/>
  <c r="H166" i="17"/>
  <c r="G166" i="17"/>
  <c r="F166" i="17"/>
  <c r="E166" i="17"/>
  <c r="D166" i="17" s="1"/>
  <c r="C166" i="17"/>
  <c r="B166" i="17"/>
  <c r="P165" i="17"/>
  <c r="O165" i="17"/>
  <c r="N165" i="17"/>
  <c r="M165" i="17"/>
  <c r="K165" i="17"/>
  <c r="J165" i="17"/>
  <c r="H165" i="17"/>
  <c r="G165" i="17"/>
  <c r="D165" i="17" s="1"/>
  <c r="F165" i="17"/>
  <c r="E165" i="17"/>
  <c r="C165" i="17"/>
  <c r="B165" i="17"/>
  <c r="P164" i="17"/>
  <c r="O164" i="17"/>
  <c r="N164" i="17"/>
  <c r="M164" i="17"/>
  <c r="L164" i="17" s="1"/>
  <c r="R164" i="17" s="1"/>
  <c r="K164" i="17"/>
  <c r="J164" i="17"/>
  <c r="H164" i="17"/>
  <c r="G164" i="17"/>
  <c r="F164" i="17"/>
  <c r="E164" i="17"/>
  <c r="C164" i="17"/>
  <c r="B164" i="17"/>
  <c r="P151" i="17"/>
  <c r="O151" i="17"/>
  <c r="N151" i="17"/>
  <c r="M151" i="17"/>
  <c r="K151" i="17"/>
  <c r="J151" i="17"/>
  <c r="H151" i="17"/>
  <c r="G151" i="17"/>
  <c r="F151" i="17"/>
  <c r="E151" i="17"/>
  <c r="C151" i="17"/>
  <c r="B151" i="17"/>
  <c r="P150" i="17"/>
  <c r="O150" i="17"/>
  <c r="N150" i="17"/>
  <c r="M150" i="17"/>
  <c r="L150" i="17" s="1"/>
  <c r="K150" i="17"/>
  <c r="J150" i="17"/>
  <c r="H150" i="17"/>
  <c r="G150" i="17"/>
  <c r="F150" i="17"/>
  <c r="E150" i="17"/>
  <c r="C150" i="17"/>
  <c r="B150" i="17"/>
  <c r="P149" i="17"/>
  <c r="O149" i="17"/>
  <c r="N149" i="17"/>
  <c r="M149" i="17"/>
  <c r="K149" i="17"/>
  <c r="J149" i="17"/>
  <c r="H149" i="17"/>
  <c r="G149" i="17"/>
  <c r="F149" i="17"/>
  <c r="E149" i="17"/>
  <c r="C149" i="17"/>
  <c r="B149" i="17"/>
  <c r="P148" i="17"/>
  <c r="O148" i="17"/>
  <c r="N148" i="17"/>
  <c r="M148" i="17"/>
  <c r="L148" i="17" s="1"/>
  <c r="R148" i="17" s="1"/>
  <c r="K148" i="17"/>
  <c r="J148" i="17"/>
  <c r="H148" i="17"/>
  <c r="G148" i="17"/>
  <c r="F148" i="17"/>
  <c r="E148" i="17"/>
  <c r="C148" i="17"/>
  <c r="B148" i="17"/>
  <c r="P146" i="17"/>
  <c r="O146" i="17"/>
  <c r="N146" i="17"/>
  <c r="M146" i="17"/>
  <c r="K146" i="17"/>
  <c r="J146" i="17"/>
  <c r="H146" i="17"/>
  <c r="G146" i="17"/>
  <c r="D146" i="17" s="1"/>
  <c r="Q146" i="17" s="1"/>
  <c r="F146" i="17"/>
  <c r="E146" i="17"/>
  <c r="C146" i="17"/>
  <c r="B146" i="17"/>
  <c r="P145" i="17"/>
  <c r="O145" i="17"/>
  <c r="N145" i="17"/>
  <c r="M145" i="17"/>
  <c r="L145" i="17" s="1"/>
  <c r="R145" i="17" s="1"/>
  <c r="K145" i="17"/>
  <c r="J145" i="17"/>
  <c r="H145" i="17"/>
  <c r="G145" i="17"/>
  <c r="F145" i="17"/>
  <c r="E145" i="17"/>
  <c r="C145" i="17"/>
  <c r="B145" i="17"/>
  <c r="P144" i="17"/>
  <c r="O144" i="17"/>
  <c r="N144" i="17"/>
  <c r="L144" i="17" s="1"/>
  <c r="M144" i="17"/>
  <c r="K144" i="17"/>
  <c r="J144" i="17"/>
  <c r="H144" i="17"/>
  <c r="G144" i="17"/>
  <c r="D144" i="17" s="1"/>
  <c r="Q144" i="17" s="1"/>
  <c r="F144" i="17"/>
  <c r="E144" i="17"/>
  <c r="C144" i="17"/>
  <c r="B144" i="17"/>
  <c r="P143" i="17"/>
  <c r="O143" i="17"/>
  <c r="N143" i="17"/>
  <c r="M143" i="17"/>
  <c r="L143" i="17" s="1"/>
  <c r="K143" i="17"/>
  <c r="J143" i="17"/>
  <c r="H143" i="17"/>
  <c r="G143" i="17"/>
  <c r="F143" i="17"/>
  <c r="E143" i="17"/>
  <c r="D143" i="17" s="1"/>
  <c r="C143" i="17"/>
  <c r="B143" i="17"/>
  <c r="P141" i="17"/>
  <c r="O141" i="17"/>
  <c r="N141" i="17"/>
  <c r="M141" i="17"/>
  <c r="K141" i="17"/>
  <c r="J141" i="17"/>
  <c r="H141" i="17"/>
  <c r="G141" i="17"/>
  <c r="D141" i="17" s="1"/>
  <c r="F141" i="17"/>
  <c r="E141" i="17"/>
  <c r="C141" i="17"/>
  <c r="B141" i="17"/>
  <c r="P140" i="17"/>
  <c r="O140" i="17"/>
  <c r="N140" i="17"/>
  <c r="M140" i="17"/>
  <c r="L140" i="17" s="1"/>
  <c r="K140" i="17"/>
  <c r="J140" i="17"/>
  <c r="H140" i="17"/>
  <c r="G140" i="17"/>
  <c r="F140" i="17"/>
  <c r="E140" i="17"/>
  <c r="C140" i="17"/>
  <c r="B140" i="17"/>
  <c r="P139" i="17"/>
  <c r="O139" i="17"/>
  <c r="N139" i="17"/>
  <c r="L139" i="17" s="1"/>
  <c r="M139" i="17"/>
  <c r="K139" i="17"/>
  <c r="J139" i="17"/>
  <c r="R139" i="17" s="1"/>
  <c r="H139" i="17"/>
  <c r="G139" i="17"/>
  <c r="F139" i="17"/>
  <c r="E139" i="17"/>
  <c r="C139" i="17"/>
  <c r="B139" i="17"/>
  <c r="P138" i="17"/>
  <c r="O138" i="17"/>
  <c r="N138" i="17"/>
  <c r="M138" i="17"/>
  <c r="L138" i="17" s="1"/>
  <c r="K138" i="17"/>
  <c r="J138" i="17"/>
  <c r="H138" i="17"/>
  <c r="G138" i="17"/>
  <c r="F138" i="17"/>
  <c r="E138" i="17"/>
  <c r="C138" i="17"/>
  <c r="B138" i="17"/>
  <c r="P136" i="17"/>
  <c r="O136" i="17"/>
  <c r="N136" i="17"/>
  <c r="M136" i="17"/>
  <c r="K136" i="17"/>
  <c r="J136" i="17"/>
  <c r="H136" i="17"/>
  <c r="G136" i="17"/>
  <c r="D136" i="17" s="1"/>
  <c r="F136" i="17"/>
  <c r="E136" i="17"/>
  <c r="C136" i="17"/>
  <c r="B136" i="17"/>
  <c r="P135" i="17"/>
  <c r="O135" i="17"/>
  <c r="N135" i="17"/>
  <c r="M135" i="17"/>
  <c r="L135" i="17" s="1"/>
  <c r="K135" i="17"/>
  <c r="J135" i="17"/>
  <c r="H135" i="17"/>
  <c r="G135" i="17"/>
  <c r="F135" i="17"/>
  <c r="E135" i="17"/>
  <c r="D135" i="17" s="1"/>
  <c r="C135" i="17"/>
  <c r="B135" i="17"/>
  <c r="P134" i="17"/>
  <c r="O134" i="17"/>
  <c r="N134" i="17"/>
  <c r="M134" i="17"/>
  <c r="K134" i="17"/>
  <c r="J134" i="17"/>
  <c r="H134" i="17"/>
  <c r="G134" i="17"/>
  <c r="D134" i="17" s="1"/>
  <c r="Q134" i="17" s="1"/>
  <c r="F134" i="17"/>
  <c r="E134" i="17"/>
  <c r="C134" i="17"/>
  <c r="B134" i="17"/>
  <c r="P133" i="17"/>
  <c r="O133" i="17"/>
  <c r="N133" i="17"/>
  <c r="M133" i="17"/>
  <c r="L133" i="17" s="1"/>
  <c r="K133" i="17"/>
  <c r="J133" i="17"/>
  <c r="H133" i="17"/>
  <c r="G133" i="17"/>
  <c r="F133" i="17"/>
  <c r="E133" i="17"/>
  <c r="C133" i="17"/>
  <c r="B133" i="17"/>
  <c r="Q133" i="17" s="1"/>
  <c r="P120" i="17"/>
  <c r="O120" i="17"/>
  <c r="N120" i="17"/>
  <c r="L120" i="17" s="1"/>
  <c r="M120" i="17"/>
  <c r="K120" i="17"/>
  <c r="J120" i="17"/>
  <c r="H120" i="17"/>
  <c r="G120" i="17"/>
  <c r="D120" i="17" s="1"/>
  <c r="F120" i="17"/>
  <c r="E120" i="17"/>
  <c r="C120" i="17"/>
  <c r="B120" i="17"/>
  <c r="P119" i="17"/>
  <c r="O119" i="17"/>
  <c r="N119" i="17"/>
  <c r="M119" i="17"/>
  <c r="L119" i="17" s="1"/>
  <c r="K119" i="17"/>
  <c r="J119" i="17"/>
  <c r="H119" i="17"/>
  <c r="G119" i="17"/>
  <c r="F119" i="17"/>
  <c r="E119" i="17"/>
  <c r="C119" i="17"/>
  <c r="B119" i="17"/>
  <c r="Q119" i="17" s="1"/>
  <c r="P118" i="17"/>
  <c r="O118" i="17"/>
  <c r="N118" i="17"/>
  <c r="M118" i="17"/>
  <c r="K118" i="17"/>
  <c r="J118" i="17"/>
  <c r="H118" i="17"/>
  <c r="G118" i="17"/>
  <c r="D118" i="17" s="1"/>
  <c r="Q118" i="17" s="1"/>
  <c r="F118" i="17"/>
  <c r="E118" i="17"/>
  <c r="C118" i="17"/>
  <c r="B118" i="17"/>
  <c r="P117" i="17"/>
  <c r="O117" i="17"/>
  <c r="N117" i="17"/>
  <c r="M117" i="17"/>
  <c r="L117" i="17" s="1"/>
  <c r="K117" i="17"/>
  <c r="J117" i="17"/>
  <c r="H117" i="17"/>
  <c r="G117" i="17"/>
  <c r="F117" i="17"/>
  <c r="E117" i="17"/>
  <c r="D117" i="17" s="1"/>
  <c r="C117" i="17"/>
  <c r="B117" i="17"/>
  <c r="P115" i="17"/>
  <c r="O115" i="17"/>
  <c r="N115" i="17"/>
  <c r="M115" i="17"/>
  <c r="K115" i="17"/>
  <c r="J115" i="17"/>
  <c r="H115" i="17"/>
  <c r="G115" i="17"/>
  <c r="D115" i="17" s="1"/>
  <c r="F115" i="17"/>
  <c r="E115" i="17"/>
  <c r="C115" i="17"/>
  <c r="B115" i="17"/>
  <c r="P114" i="17"/>
  <c r="O114" i="17"/>
  <c r="N114" i="17"/>
  <c r="M114" i="17"/>
  <c r="L114" i="17" s="1"/>
  <c r="R114" i="17" s="1"/>
  <c r="K114" i="17"/>
  <c r="J114" i="17"/>
  <c r="H114" i="17"/>
  <c r="G114" i="17"/>
  <c r="F114" i="17"/>
  <c r="E114" i="17"/>
  <c r="D114" i="17" s="1"/>
  <c r="C114" i="17"/>
  <c r="B114" i="17"/>
  <c r="P113" i="17"/>
  <c r="O113" i="17"/>
  <c r="N113" i="17"/>
  <c r="M113" i="17"/>
  <c r="K113" i="17"/>
  <c r="J113" i="17"/>
  <c r="H113" i="17"/>
  <c r="G113" i="17"/>
  <c r="D113" i="17" s="1"/>
  <c r="F113" i="17"/>
  <c r="E113" i="17"/>
  <c r="C113" i="17"/>
  <c r="B113" i="17"/>
  <c r="P112" i="17"/>
  <c r="O112" i="17"/>
  <c r="N112" i="17"/>
  <c r="M112" i="17"/>
  <c r="L112" i="17" s="1"/>
  <c r="R112" i="17" s="1"/>
  <c r="K112" i="17"/>
  <c r="J112" i="17"/>
  <c r="H112" i="17"/>
  <c r="G112" i="17"/>
  <c r="F112" i="17"/>
  <c r="E112" i="17"/>
  <c r="C112" i="17"/>
  <c r="B112" i="17"/>
  <c r="P110" i="17"/>
  <c r="O110" i="17"/>
  <c r="N110" i="17"/>
  <c r="M110" i="17"/>
  <c r="K110" i="17"/>
  <c r="J110" i="17"/>
  <c r="H110" i="17"/>
  <c r="G110" i="17"/>
  <c r="D110" i="17" s="1"/>
  <c r="F110" i="17"/>
  <c r="E110" i="17"/>
  <c r="C110" i="17"/>
  <c r="B110" i="17"/>
  <c r="P109" i="17"/>
  <c r="O109" i="17"/>
  <c r="N109" i="17"/>
  <c r="M109" i="17"/>
  <c r="L109" i="17" s="1"/>
  <c r="R109" i="17" s="1"/>
  <c r="K109" i="17"/>
  <c r="J109" i="17"/>
  <c r="H109" i="17"/>
  <c r="G109" i="17"/>
  <c r="F109" i="17"/>
  <c r="E109" i="17"/>
  <c r="D109" i="17" s="1"/>
  <c r="C109" i="17"/>
  <c r="B109" i="17"/>
  <c r="Q109" i="17" s="1"/>
  <c r="P108" i="17"/>
  <c r="O108" i="17"/>
  <c r="N108" i="17"/>
  <c r="M108" i="17"/>
  <c r="K108" i="17"/>
  <c r="J108" i="17"/>
  <c r="H108" i="17"/>
  <c r="G108" i="17"/>
  <c r="D108" i="17" s="1"/>
  <c r="Q108" i="17" s="1"/>
  <c r="F108" i="17"/>
  <c r="E108" i="17"/>
  <c r="C108" i="17"/>
  <c r="B108" i="17"/>
  <c r="P107" i="17"/>
  <c r="O107" i="17"/>
  <c r="N107" i="17"/>
  <c r="M107" i="17"/>
  <c r="L107" i="17" s="1"/>
  <c r="K107" i="17"/>
  <c r="J107" i="17"/>
  <c r="H107" i="17"/>
  <c r="G107" i="17"/>
  <c r="F107" i="17"/>
  <c r="E107" i="17"/>
  <c r="D107" i="17" s="1"/>
  <c r="C107" i="17"/>
  <c r="B107" i="17"/>
  <c r="P105" i="17"/>
  <c r="O105" i="17"/>
  <c r="N105" i="17"/>
  <c r="M105" i="17"/>
  <c r="K105" i="17"/>
  <c r="J105" i="17"/>
  <c r="R105" i="17" s="1"/>
  <c r="H105" i="17"/>
  <c r="G105" i="17"/>
  <c r="F105" i="17"/>
  <c r="E105" i="17"/>
  <c r="C105" i="17"/>
  <c r="B105" i="17"/>
  <c r="P104" i="17"/>
  <c r="O104" i="17"/>
  <c r="N104" i="17"/>
  <c r="M104" i="17"/>
  <c r="K104" i="17"/>
  <c r="J104" i="17"/>
  <c r="H104" i="17"/>
  <c r="G104" i="17"/>
  <c r="F104" i="17"/>
  <c r="E104" i="17"/>
  <c r="C104" i="17"/>
  <c r="B104" i="17"/>
  <c r="P103" i="17"/>
  <c r="O103" i="17"/>
  <c r="N103" i="17"/>
  <c r="M103" i="17"/>
  <c r="K103" i="17"/>
  <c r="J103" i="17"/>
  <c r="H103" i="17"/>
  <c r="G103" i="17"/>
  <c r="D103" i="17" s="1"/>
  <c r="F103" i="17"/>
  <c r="E103" i="17"/>
  <c r="C103" i="17"/>
  <c r="B103" i="17"/>
  <c r="P102" i="17"/>
  <c r="O102" i="17"/>
  <c r="N102" i="17"/>
  <c r="M102" i="17"/>
  <c r="L102" i="17" s="1"/>
  <c r="R102" i="17" s="1"/>
  <c r="K102" i="17"/>
  <c r="J102" i="17"/>
  <c r="H102" i="17"/>
  <c r="G102" i="17"/>
  <c r="F102" i="17"/>
  <c r="E102" i="17"/>
  <c r="C102" i="17"/>
  <c r="B102" i="17"/>
  <c r="P90" i="17"/>
  <c r="O90" i="17"/>
  <c r="N90" i="17"/>
  <c r="L90" i="17" s="1"/>
  <c r="M90" i="17"/>
  <c r="K90" i="17"/>
  <c r="J90" i="17"/>
  <c r="R90" i="17" s="1"/>
  <c r="H90" i="17"/>
  <c r="G90" i="17"/>
  <c r="D90" i="17" s="1"/>
  <c r="F90" i="17"/>
  <c r="E90" i="17"/>
  <c r="C90" i="17"/>
  <c r="B90" i="17"/>
  <c r="P89" i="17"/>
  <c r="O89" i="17"/>
  <c r="N89" i="17"/>
  <c r="M89" i="17"/>
  <c r="L89" i="17" s="1"/>
  <c r="K89" i="17"/>
  <c r="J89" i="17"/>
  <c r="H89" i="17"/>
  <c r="G89" i="17"/>
  <c r="F89" i="17"/>
  <c r="E89" i="17"/>
  <c r="C89" i="17"/>
  <c r="B89" i="17"/>
  <c r="P88" i="17"/>
  <c r="O88" i="17"/>
  <c r="N88" i="17"/>
  <c r="L88" i="17" s="1"/>
  <c r="M88" i="17"/>
  <c r="K88" i="17"/>
  <c r="J88" i="17"/>
  <c r="H88" i="17"/>
  <c r="G88" i="17"/>
  <c r="D88" i="17" s="1"/>
  <c r="F88" i="17"/>
  <c r="E88" i="17"/>
  <c r="C88" i="17"/>
  <c r="B88" i="17"/>
  <c r="P87" i="17"/>
  <c r="O87" i="17"/>
  <c r="N87" i="17"/>
  <c r="M87" i="17"/>
  <c r="L87" i="17" s="1"/>
  <c r="R87" i="17" s="1"/>
  <c r="K87" i="17"/>
  <c r="J87" i="17"/>
  <c r="H87" i="17"/>
  <c r="G87" i="17"/>
  <c r="F87" i="17"/>
  <c r="E87" i="17"/>
  <c r="C87" i="17"/>
  <c r="B87" i="17"/>
  <c r="P85" i="17"/>
  <c r="O85" i="17"/>
  <c r="N85" i="17"/>
  <c r="M85" i="17"/>
  <c r="K85" i="17"/>
  <c r="J85" i="17"/>
  <c r="H85" i="17"/>
  <c r="G85" i="17"/>
  <c r="D85" i="17" s="1"/>
  <c r="Q85" i="17" s="1"/>
  <c r="F85" i="17"/>
  <c r="E85" i="17"/>
  <c r="C85" i="17"/>
  <c r="B85" i="17"/>
  <c r="P84" i="17"/>
  <c r="O84" i="17"/>
  <c r="N84" i="17"/>
  <c r="M84" i="17"/>
  <c r="L84" i="17" s="1"/>
  <c r="R84" i="17" s="1"/>
  <c r="K84" i="17"/>
  <c r="J84" i="17"/>
  <c r="H84" i="17"/>
  <c r="G84" i="17"/>
  <c r="F84" i="17"/>
  <c r="E84" i="17"/>
  <c r="D84" i="17" s="1"/>
  <c r="C84" i="17"/>
  <c r="B84" i="17"/>
  <c r="Q84" i="17" s="1"/>
  <c r="P83" i="17"/>
  <c r="O83" i="17"/>
  <c r="N83" i="17"/>
  <c r="M83" i="17"/>
  <c r="K83" i="17"/>
  <c r="J83" i="17"/>
  <c r="H83" i="17"/>
  <c r="G83" i="17"/>
  <c r="D83" i="17" s="1"/>
  <c r="Q83" i="17" s="1"/>
  <c r="F83" i="17"/>
  <c r="E83" i="17"/>
  <c r="C83" i="17"/>
  <c r="B83" i="17"/>
  <c r="P82" i="17"/>
  <c r="O82" i="17"/>
  <c r="N82" i="17"/>
  <c r="M82" i="17"/>
  <c r="L82" i="17" s="1"/>
  <c r="K82" i="17"/>
  <c r="J82" i="17"/>
  <c r="H82" i="17"/>
  <c r="G82" i="17"/>
  <c r="F82" i="17"/>
  <c r="E82" i="17"/>
  <c r="C82" i="17"/>
  <c r="B82" i="17"/>
  <c r="P80" i="17"/>
  <c r="O80" i="17"/>
  <c r="N80" i="17"/>
  <c r="L80" i="17" s="1"/>
  <c r="R80" i="17" s="1"/>
  <c r="M80" i="17"/>
  <c r="K80" i="17"/>
  <c r="J80" i="17"/>
  <c r="H80" i="17"/>
  <c r="G80" i="17"/>
  <c r="D80" i="17" s="1"/>
  <c r="F80" i="17"/>
  <c r="E80" i="17"/>
  <c r="C80" i="17"/>
  <c r="B80" i="17"/>
  <c r="P79" i="17"/>
  <c r="O79" i="17"/>
  <c r="N79" i="17"/>
  <c r="M79" i="17"/>
  <c r="L79" i="17" s="1"/>
  <c r="R79" i="17" s="1"/>
  <c r="K79" i="17"/>
  <c r="J79" i="17"/>
  <c r="H79" i="17"/>
  <c r="G79" i="17"/>
  <c r="F79" i="17"/>
  <c r="E79" i="17"/>
  <c r="C79" i="17"/>
  <c r="B79" i="17"/>
  <c r="P78" i="17"/>
  <c r="O78" i="17"/>
  <c r="N78" i="17"/>
  <c r="M78" i="17"/>
  <c r="K78" i="17"/>
  <c r="J78" i="17"/>
  <c r="H78" i="17"/>
  <c r="G78" i="17"/>
  <c r="F78" i="17"/>
  <c r="E78" i="17"/>
  <c r="C78" i="17"/>
  <c r="B78" i="17"/>
  <c r="P77" i="17"/>
  <c r="O77" i="17"/>
  <c r="N77" i="17"/>
  <c r="M77" i="17"/>
  <c r="L77" i="17" s="1"/>
  <c r="R77" i="17" s="1"/>
  <c r="K77" i="17"/>
  <c r="J77" i="17"/>
  <c r="H77" i="17"/>
  <c r="G77" i="17"/>
  <c r="F77" i="17"/>
  <c r="E77" i="17"/>
  <c r="C77" i="17"/>
  <c r="B77" i="17"/>
  <c r="P75" i="17"/>
  <c r="O75" i="17"/>
  <c r="N75" i="17"/>
  <c r="L75" i="17" s="1"/>
  <c r="M75" i="17"/>
  <c r="K75" i="17"/>
  <c r="J75" i="17"/>
  <c r="H75" i="17"/>
  <c r="G75" i="17"/>
  <c r="D75" i="17" s="1"/>
  <c r="F75" i="17"/>
  <c r="E75" i="17"/>
  <c r="C75" i="17"/>
  <c r="B75" i="17"/>
  <c r="P74" i="17"/>
  <c r="O74" i="17"/>
  <c r="N74" i="17"/>
  <c r="M74" i="17"/>
  <c r="L74" i="17" s="1"/>
  <c r="R74" i="17" s="1"/>
  <c r="K74" i="17"/>
  <c r="J74" i="17"/>
  <c r="H74" i="17"/>
  <c r="G74" i="17"/>
  <c r="F74" i="17"/>
  <c r="E74" i="17"/>
  <c r="C74" i="17"/>
  <c r="B74" i="17"/>
  <c r="P73" i="17"/>
  <c r="O73" i="17"/>
  <c r="N73" i="17"/>
  <c r="L73" i="17" s="1"/>
  <c r="M73" i="17"/>
  <c r="K73" i="17"/>
  <c r="J73" i="17"/>
  <c r="H73" i="17"/>
  <c r="G73" i="17"/>
  <c r="D73" i="17" s="1"/>
  <c r="F73" i="17"/>
  <c r="E73" i="17"/>
  <c r="C73" i="17"/>
  <c r="B73" i="17"/>
  <c r="P72" i="17"/>
  <c r="O72" i="17"/>
  <c r="N72" i="17"/>
  <c r="M72" i="17"/>
  <c r="L72" i="17" s="1"/>
  <c r="K72" i="17"/>
  <c r="J72" i="17"/>
  <c r="H72" i="17"/>
  <c r="G72" i="17"/>
  <c r="F72" i="17"/>
  <c r="E72" i="17"/>
  <c r="D72" i="17" s="1"/>
  <c r="C72" i="17"/>
  <c r="B72" i="17"/>
  <c r="P59" i="17"/>
  <c r="O59" i="17"/>
  <c r="N59" i="17"/>
  <c r="M59" i="17"/>
  <c r="K59" i="17"/>
  <c r="J59" i="17"/>
  <c r="H59" i="17"/>
  <c r="G59" i="17"/>
  <c r="F59" i="17"/>
  <c r="E59" i="17"/>
  <c r="C59" i="17"/>
  <c r="B59" i="17"/>
  <c r="P58" i="17"/>
  <c r="O58" i="17"/>
  <c r="N58" i="17"/>
  <c r="M58" i="17"/>
  <c r="L58" i="17" s="1"/>
  <c r="R58" i="17" s="1"/>
  <c r="K58" i="17"/>
  <c r="J58" i="17"/>
  <c r="H58" i="17"/>
  <c r="G58" i="17"/>
  <c r="F58" i="17"/>
  <c r="E58" i="17"/>
  <c r="D58" i="17" s="1"/>
  <c r="C58" i="17"/>
  <c r="B58" i="17"/>
  <c r="Q58" i="17" s="1"/>
  <c r="P57" i="17"/>
  <c r="O57" i="17"/>
  <c r="N57" i="17"/>
  <c r="M57" i="17"/>
  <c r="K57" i="17"/>
  <c r="J57" i="17"/>
  <c r="H57" i="17"/>
  <c r="G57" i="17"/>
  <c r="D57" i="17" s="1"/>
  <c r="Q57" i="17" s="1"/>
  <c r="F57" i="17"/>
  <c r="E57" i="17"/>
  <c r="C57" i="17"/>
  <c r="B57" i="17"/>
  <c r="P56" i="17"/>
  <c r="O56" i="17"/>
  <c r="N56" i="17"/>
  <c r="M56" i="17"/>
  <c r="L56" i="17" s="1"/>
  <c r="K56" i="17"/>
  <c r="J56" i="17"/>
  <c r="H56" i="17"/>
  <c r="G56" i="17"/>
  <c r="F56" i="17"/>
  <c r="E56" i="17"/>
  <c r="C56" i="17"/>
  <c r="B56" i="17"/>
  <c r="Q56" i="17" s="1"/>
  <c r="P54" i="17"/>
  <c r="O54" i="17"/>
  <c r="N54" i="17"/>
  <c r="L54" i="17" s="1"/>
  <c r="R54" i="17" s="1"/>
  <c r="M54" i="17"/>
  <c r="K54" i="17"/>
  <c r="J54" i="17"/>
  <c r="H54" i="17"/>
  <c r="G54" i="17"/>
  <c r="D54" i="17" s="1"/>
  <c r="F54" i="17"/>
  <c r="E54" i="17"/>
  <c r="C54" i="17"/>
  <c r="B54" i="17"/>
  <c r="P53" i="17"/>
  <c r="O53" i="17"/>
  <c r="N53" i="17"/>
  <c r="M53" i="17"/>
  <c r="L53" i="17" s="1"/>
  <c r="K53" i="17"/>
  <c r="J53" i="17"/>
  <c r="H53" i="17"/>
  <c r="G53" i="17"/>
  <c r="F53" i="17"/>
  <c r="E53" i="17"/>
  <c r="C53" i="17"/>
  <c r="B53" i="17"/>
  <c r="P52" i="17"/>
  <c r="O52" i="17"/>
  <c r="N52" i="17"/>
  <c r="M52" i="17"/>
  <c r="K52" i="17"/>
  <c r="J52" i="17"/>
  <c r="H52" i="17"/>
  <c r="G52" i="17"/>
  <c r="D52" i="17" s="1"/>
  <c r="F52" i="17"/>
  <c r="E52" i="17"/>
  <c r="C52" i="17"/>
  <c r="B52" i="17"/>
  <c r="P51" i="17"/>
  <c r="O51" i="17"/>
  <c r="N51" i="17"/>
  <c r="M51" i="17"/>
  <c r="L51" i="17" s="1"/>
  <c r="R51" i="17" s="1"/>
  <c r="K51" i="17"/>
  <c r="J51" i="17"/>
  <c r="H51" i="17"/>
  <c r="G51" i="17"/>
  <c r="F51" i="17"/>
  <c r="E51" i="17"/>
  <c r="C51" i="17"/>
  <c r="B51" i="17"/>
  <c r="P49" i="17"/>
  <c r="O49" i="17"/>
  <c r="N49" i="17"/>
  <c r="M49" i="17"/>
  <c r="K49" i="17"/>
  <c r="J49" i="17"/>
  <c r="H49" i="17"/>
  <c r="G49" i="17"/>
  <c r="D49" i="17" s="1"/>
  <c r="Q49" i="17" s="1"/>
  <c r="F49" i="17"/>
  <c r="E49" i="17"/>
  <c r="C49" i="17"/>
  <c r="B49" i="17"/>
  <c r="P48" i="17"/>
  <c r="O48" i="17"/>
  <c r="N48" i="17"/>
  <c r="M48" i="17"/>
  <c r="L48" i="17" s="1"/>
  <c r="K48" i="17"/>
  <c r="J48" i="17"/>
  <c r="H48" i="17"/>
  <c r="G48" i="17"/>
  <c r="F48" i="17"/>
  <c r="E48" i="17"/>
  <c r="C48" i="17"/>
  <c r="B48" i="17"/>
  <c r="P47" i="17"/>
  <c r="O47" i="17"/>
  <c r="N47" i="17"/>
  <c r="M47" i="17"/>
  <c r="K47" i="17"/>
  <c r="J47" i="17"/>
  <c r="H47" i="17"/>
  <c r="G47" i="17"/>
  <c r="D47" i="17" s="1"/>
  <c r="Q47" i="17" s="1"/>
  <c r="F47" i="17"/>
  <c r="E47" i="17"/>
  <c r="C47" i="17"/>
  <c r="B47" i="17"/>
  <c r="P46" i="17"/>
  <c r="O46" i="17"/>
  <c r="N46" i="17"/>
  <c r="M46" i="17"/>
  <c r="K46" i="17"/>
  <c r="J46" i="17"/>
  <c r="H46" i="17"/>
  <c r="G46" i="17"/>
  <c r="F46" i="17"/>
  <c r="E46" i="17"/>
  <c r="D46" i="17" s="1"/>
  <c r="C46" i="17"/>
  <c r="B46" i="17"/>
  <c r="Q46" i="17" s="1"/>
  <c r="P44" i="17"/>
  <c r="O44" i="17"/>
  <c r="N44" i="17"/>
  <c r="M44" i="17"/>
  <c r="K44" i="17"/>
  <c r="J44" i="17"/>
  <c r="H44" i="17"/>
  <c r="G44" i="17"/>
  <c r="F44" i="17"/>
  <c r="E44" i="17"/>
  <c r="C44" i="17"/>
  <c r="B44" i="17"/>
  <c r="P43" i="17"/>
  <c r="O43" i="17"/>
  <c r="N43" i="17"/>
  <c r="M43" i="17"/>
  <c r="L43" i="17" s="1"/>
  <c r="K43" i="17"/>
  <c r="J43" i="17"/>
  <c r="H43" i="17"/>
  <c r="G43" i="17"/>
  <c r="F43" i="17"/>
  <c r="E43" i="17"/>
  <c r="C43" i="17"/>
  <c r="B43" i="17"/>
  <c r="P42" i="17"/>
  <c r="O42" i="17"/>
  <c r="N42" i="17"/>
  <c r="M42" i="17"/>
  <c r="K42" i="17"/>
  <c r="J42" i="17"/>
  <c r="H42" i="17"/>
  <c r="G42" i="17"/>
  <c r="D42" i="17" s="1"/>
  <c r="F42" i="17"/>
  <c r="E42" i="17"/>
  <c r="C42" i="17"/>
  <c r="B42" i="17"/>
  <c r="P41" i="17"/>
  <c r="O41" i="17"/>
  <c r="N41" i="17"/>
  <c r="M41" i="17"/>
  <c r="L41" i="17" s="1"/>
  <c r="R41" i="17" s="1"/>
  <c r="K41" i="17"/>
  <c r="J41" i="17"/>
  <c r="H41" i="17"/>
  <c r="G41" i="17"/>
  <c r="F41" i="17"/>
  <c r="E41" i="17"/>
  <c r="C41" i="17"/>
  <c r="B41" i="17"/>
  <c r="P27" i="17"/>
  <c r="O27" i="17"/>
  <c r="N27" i="17"/>
  <c r="L27" i="17" s="1"/>
  <c r="M27" i="17"/>
  <c r="K27" i="17"/>
  <c r="J27" i="17"/>
  <c r="R27" i="17" s="1"/>
  <c r="H27" i="17"/>
  <c r="G27" i="17"/>
  <c r="F27" i="17"/>
  <c r="E27" i="17"/>
  <c r="C27" i="17"/>
  <c r="B27" i="17"/>
  <c r="P26" i="17"/>
  <c r="O26" i="17"/>
  <c r="N26" i="17"/>
  <c r="M26" i="17"/>
  <c r="L26" i="17" s="1"/>
  <c r="K26" i="17"/>
  <c r="J26" i="17"/>
  <c r="H26" i="17"/>
  <c r="G26" i="17"/>
  <c r="F26" i="17"/>
  <c r="E26" i="17"/>
  <c r="C26" i="17"/>
  <c r="B26" i="17"/>
  <c r="P25" i="17"/>
  <c r="O25" i="17"/>
  <c r="N25" i="17"/>
  <c r="M25" i="17"/>
  <c r="K25" i="17"/>
  <c r="J25" i="17"/>
  <c r="H25" i="17"/>
  <c r="G25" i="17"/>
  <c r="D25" i="17" s="1"/>
  <c r="F25" i="17"/>
  <c r="E25" i="17"/>
  <c r="C25" i="17"/>
  <c r="B25" i="17"/>
  <c r="P24" i="17"/>
  <c r="O24" i="17"/>
  <c r="N24" i="17"/>
  <c r="M24" i="17"/>
  <c r="L24" i="17" s="1"/>
  <c r="K24" i="17"/>
  <c r="J24" i="17"/>
  <c r="H24" i="17"/>
  <c r="G24" i="17"/>
  <c r="F24" i="17"/>
  <c r="E24" i="17"/>
  <c r="C24" i="17"/>
  <c r="B24" i="17"/>
  <c r="P22" i="17"/>
  <c r="O22" i="17"/>
  <c r="N22" i="17"/>
  <c r="M22" i="17"/>
  <c r="K22" i="17"/>
  <c r="J22" i="17"/>
  <c r="H22" i="17"/>
  <c r="G22" i="17"/>
  <c r="D22" i="17" s="1"/>
  <c r="Q22" i="17" s="1"/>
  <c r="F22" i="17"/>
  <c r="E22" i="17"/>
  <c r="C22" i="17"/>
  <c r="B22" i="17"/>
  <c r="P21" i="17"/>
  <c r="O21" i="17"/>
  <c r="N21" i="17"/>
  <c r="M21" i="17"/>
  <c r="L21" i="17" s="1"/>
  <c r="R21" i="17" s="1"/>
  <c r="K21" i="17"/>
  <c r="J21" i="17"/>
  <c r="H21" i="17"/>
  <c r="G21" i="17"/>
  <c r="F21" i="17"/>
  <c r="E21" i="17"/>
  <c r="D21" i="17" s="1"/>
  <c r="C21" i="17"/>
  <c r="B21" i="17"/>
  <c r="Q21" i="17" s="1"/>
  <c r="P20" i="17"/>
  <c r="O20" i="17"/>
  <c r="N20" i="17"/>
  <c r="L20" i="17" s="1"/>
  <c r="M20" i="17"/>
  <c r="K20" i="17"/>
  <c r="J20" i="17"/>
  <c r="R20" i="17" s="1"/>
  <c r="H20" i="17"/>
  <c r="G20" i="17"/>
  <c r="D20" i="17" s="1"/>
  <c r="Q20" i="17" s="1"/>
  <c r="F20" i="17"/>
  <c r="E20" i="17"/>
  <c r="C20" i="17"/>
  <c r="B20" i="17"/>
  <c r="P19" i="17"/>
  <c r="O19" i="17"/>
  <c r="N19" i="17"/>
  <c r="M19" i="17"/>
  <c r="K19" i="17"/>
  <c r="J19" i="17"/>
  <c r="H19" i="17"/>
  <c r="G19" i="17"/>
  <c r="F19" i="17"/>
  <c r="E19" i="17"/>
  <c r="C19" i="17"/>
  <c r="B19" i="17"/>
  <c r="Q19" i="17" s="1"/>
  <c r="P17" i="17"/>
  <c r="O17" i="17"/>
  <c r="N17" i="17"/>
  <c r="M17" i="17"/>
  <c r="K17" i="17"/>
  <c r="J17" i="17"/>
  <c r="H17" i="17"/>
  <c r="G17" i="17"/>
  <c r="D17" i="17" s="1"/>
  <c r="F17" i="17"/>
  <c r="E17" i="17"/>
  <c r="C17" i="17"/>
  <c r="B17" i="17"/>
  <c r="P16" i="17"/>
  <c r="O16" i="17"/>
  <c r="N16" i="17"/>
  <c r="M16" i="17"/>
  <c r="L16" i="17" s="1"/>
  <c r="K16" i="17"/>
  <c r="J16" i="17"/>
  <c r="H16" i="17"/>
  <c r="G16" i="17"/>
  <c r="F16" i="17"/>
  <c r="E16" i="17"/>
  <c r="C16" i="17"/>
  <c r="B16" i="17"/>
  <c r="P15" i="17"/>
  <c r="O15" i="17"/>
  <c r="N15" i="17"/>
  <c r="M15" i="17"/>
  <c r="K15" i="17"/>
  <c r="J15" i="17"/>
  <c r="H15" i="17"/>
  <c r="G15" i="17"/>
  <c r="D15" i="17" s="1"/>
  <c r="F15" i="17"/>
  <c r="E15" i="17"/>
  <c r="C15" i="17"/>
  <c r="B15" i="17"/>
  <c r="P14" i="17"/>
  <c r="O14" i="17"/>
  <c r="N14" i="17"/>
  <c r="M14" i="17"/>
  <c r="L14" i="17" s="1"/>
  <c r="K14" i="17"/>
  <c r="J14" i="17"/>
  <c r="H14" i="17"/>
  <c r="G14" i="17"/>
  <c r="F14" i="17"/>
  <c r="E14" i="17"/>
  <c r="D14" i="17" s="1"/>
  <c r="C14" i="17"/>
  <c r="B14" i="17"/>
  <c r="P12" i="17"/>
  <c r="O12" i="17"/>
  <c r="N12" i="17"/>
  <c r="M12" i="17"/>
  <c r="K12" i="17"/>
  <c r="J12" i="17"/>
  <c r="H12" i="17"/>
  <c r="G12" i="17"/>
  <c r="D12" i="17" s="1"/>
  <c r="F12" i="17"/>
  <c r="E12" i="17"/>
  <c r="C12" i="17"/>
  <c r="B12" i="17"/>
  <c r="P11" i="17"/>
  <c r="O11" i="17"/>
  <c r="N11" i="17"/>
  <c r="M11" i="17"/>
  <c r="L11" i="17" s="1"/>
  <c r="R11" i="17" s="1"/>
  <c r="K11" i="17"/>
  <c r="J11" i="17"/>
  <c r="H11" i="17"/>
  <c r="G11" i="17"/>
  <c r="F11" i="17"/>
  <c r="E11" i="17"/>
  <c r="D11" i="17" s="1"/>
  <c r="C11" i="17"/>
  <c r="B11" i="17"/>
  <c r="Q11" i="17" s="1"/>
  <c r="P10" i="17"/>
  <c r="O10" i="17"/>
  <c r="N10" i="17"/>
  <c r="M10" i="17"/>
  <c r="K10" i="17"/>
  <c r="J10" i="17"/>
  <c r="H10" i="17"/>
  <c r="G10" i="17"/>
  <c r="F10" i="17"/>
  <c r="E10" i="17"/>
  <c r="C10" i="17"/>
  <c r="B10" i="17"/>
  <c r="P9" i="17"/>
  <c r="O9" i="17"/>
  <c r="N9" i="17"/>
  <c r="M9" i="17"/>
  <c r="K9" i="17"/>
  <c r="J9" i="17"/>
  <c r="H9" i="17"/>
  <c r="G9" i="17"/>
  <c r="F9" i="17"/>
  <c r="E9" i="17"/>
  <c r="D9" i="17" s="1"/>
  <c r="C9" i="17"/>
  <c r="B9" i="17"/>
  <c r="Q454" i="17"/>
  <c r="D453" i="17"/>
  <c r="Q453" i="17"/>
  <c r="Q449" i="17"/>
  <c r="D445" i="17"/>
  <c r="Q444" i="17"/>
  <c r="Q439" i="17"/>
  <c r="Q438" i="17"/>
  <c r="Q437" i="17"/>
  <c r="Q436" i="17"/>
  <c r="Q435" i="17"/>
  <c r="Q434" i="17"/>
  <c r="Q433" i="17"/>
  <c r="Q432" i="17"/>
  <c r="Q431" i="17"/>
  <c r="Q430" i="17"/>
  <c r="Q429" i="17"/>
  <c r="D428" i="17"/>
  <c r="Q428" i="17" s="1"/>
  <c r="Q424" i="17"/>
  <c r="D423" i="17"/>
  <c r="Q419" i="17"/>
  <c r="D418" i="17"/>
  <c r="D415" i="17"/>
  <c r="Q414" i="17"/>
  <c r="D413" i="17"/>
  <c r="Q409" i="17"/>
  <c r="Q408" i="17"/>
  <c r="Q407" i="17"/>
  <c r="Q406" i="17"/>
  <c r="Q405" i="17"/>
  <c r="Q404" i="17"/>
  <c r="Q403" i="17"/>
  <c r="Q402" i="17"/>
  <c r="Q401" i="17"/>
  <c r="Q400" i="17"/>
  <c r="Q399" i="17"/>
  <c r="D398" i="17"/>
  <c r="Q394" i="17"/>
  <c r="D393" i="17"/>
  <c r="D390" i="17"/>
  <c r="Q389" i="17"/>
  <c r="D388" i="17"/>
  <c r="Q388" i="17" s="1"/>
  <c r="Q384" i="17"/>
  <c r="D383" i="17"/>
  <c r="D382" i="17"/>
  <c r="Q382" i="17" s="1"/>
  <c r="Q379" i="17"/>
  <c r="Q378" i="17"/>
  <c r="Q377" i="17"/>
  <c r="Q376" i="17"/>
  <c r="Q375" i="17"/>
  <c r="Q374" i="17"/>
  <c r="Q373" i="17"/>
  <c r="Q372" i="17"/>
  <c r="Q371" i="17"/>
  <c r="Q370" i="17"/>
  <c r="Q369" i="17"/>
  <c r="Q368" i="17"/>
  <c r="D367" i="17"/>
  <c r="Q367" i="17" s="1"/>
  <c r="Q363" i="17"/>
  <c r="D362" i="17"/>
  <c r="Q358" i="17"/>
  <c r="D357" i="17"/>
  <c r="Q353" i="17"/>
  <c r="D352" i="17"/>
  <c r="D350" i="17"/>
  <c r="Q350" i="17" s="1"/>
  <c r="Q348" i="17"/>
  <c r="Q347" i="17"/>
  <c r="Q346" i="17"/>
  <c r="Q345" i="17"/>
  <c r="Q344" i="17"/>
  <c r="Q343" i="17"/>
  <c r="Q342" i="17"/>
  <c r="Q341" i="17"/>
  <c r="Q340" i="17"/>
  <c r="Q338" i="17"/>
  <c r="Q337" i="17"/>
  <c r="D336" i="17"/>
  <c r="Q332" i="17"/>
  <c r="D331" i="17"/>
  <c r="Q327" i="17"/>
  <c r="Q322" i="17"/>
  <c r="D321" i="17"/>
  <c r="Q317" i="17"/>
  <c r="Q316" i="17"/>
  <c r="Q315" i="17"/>
  <c r="Q314" i="17"/>
  <c r="Q313" i="17"/>
  <c r="Q312" i="17"/>
  <c r="Q311" i="17"/>
  <c r="Q310" i="17"/>
  <c r="Q309" i="17"/>
  <c r="Q308" i="17"/>
  <c r="Q307" i="17"/>
  <c r="Q306" i="17"/>
  <c r="D305" i="17"/>
  <c r="D302" i="17"/>
  <c r="Q301" i="17"/>
  <c r="Q296" i="17"/>
  <c r="D295" i="17"/>
  <c r="Q291" i="17"/>
  <c r="Q286" i="17"/>
  <c r="Q285" i="17"/>
  <c r="Q284" i="17"/>
  <c r="Q283" i="17"/>
  <c r="Q282" i="17"/>
  <c r="Q281" i="17"/>
  <c r="Q280" i="17"/>
  <c r="Q279" i="17"/>
  <c r="Q278" i="17"/>
  <c r="Q277" i="17"/>
  <c r="Q276" i="17"/>
  <c r="Q275" i="17"/>
  <c r="Q270" i="17"/>
  <c r="D269" i="17"/>
  <c r="D266" i="17"/>
  <c r="Q265" i="17"/>
  <c r="Q260" i="17"/>
  <c r="D259" i="17"/>
  <c r="D258" i="17"/>
  <c r="Q255" i="17"/>
  <c r="Q254" i="17"/>
  <c r="Q253" i="17"/>
  <c r="Q252" i="17"/>
  <c r="Q251" i="17"/>
  <c r="Q250" i="17"/>
  <c r="Q249" i="17"/>
  <c r="Q248" i="17"/>
  <c r="Q247" i="17"/>
  <c r="Q246" i="17"/>
  <c r="Q245" i="17"/>
  <c r="Q244" i="17"/>
  <c r="D243" i="17"/>
  <c r="Q243" i="17" s="1"/>
  <c r="D241" i="17"/>
  <c r="Q241" i="17" s="1"/>
  <c r="Q239" i="17"/>
  <c r="D238" i="17"/>
  <c r="Q234" i="17"/>
  <c r="Q229" i="17"/>
  <c r="D228" i="17"/>
  <c r="Q224" i="17"/>
  <c r="Q223" i="17"/>
  <c r="Q222" i="17"/>
  <c r="Q221" i="17"/>
  <c r="Q220" i="17"/>
  <c r="Q219" i="17"/>
  <c r="Q218" i="17"/>
  <c r="Q217" i="17"/>
  <c r="R216" i="17"/>
  <c r="Q216" i="17"/>
  <c r="R214" i="17"/>
  <c r="Q214" i="17"/>
  <c r="R213" i="17"/>
  <c r="Q213" i="17"/>
  <c r="R208" i="17"/>
  <c r="Q208" i="17"/>
  <c r="D206" i="17"/>
  <c r="L205" i="17"/>
  <c r="R203" i="17"/>
  <c r="Q203" i="17"/>
  <c r="L202" i="17"/>
  <c r="R202" i="17" s="1"/>
  <c r="D202" i="17"/>
  <c r="R198" i="17"/>
  <c r="Q198" i="17"/>
  <c r="L197" i="17"/>
  <c r="L195" i="17"/>
  <c r="L182" i="17"/>
  <c r="D181" i="17"/>
  <c r="L180" i="17"/>
  <c r="R178" i="17"/>
  <c r="Q178" i="17"/>
  <c r="L177" i="17"/>
  <c r="R177" i="17" s="1"/>
  <c r="R173" i="17"/>
  <c r="Q173" i="17"/>
  <c r="L172" i="17"/>
  <c r="R168" i="17"/>
  <c r="Q168" i="17"/>
  <c r="L151" i="17"/>
  <c r="R151" i="17" s="1"/>
  <c r="R147" i="17"/>
  <c r="Q147" i="17"/>
  <c r="L146" i="17"/>
  <c r="D145" i="17"/>
  <c r="R142" i="17"/>
  <c r="Q142" i="17"/>
  <c r="L141" i="17"/>
  <c r="R141" i="17"/>
  <c r="R137" i="17"/>
  <c r="Q137" i="17"/>
  <c r="L136" i="17"/>
  <c r="L134" i="17"/>
  <c r="D133" i="17"/>
  <c r="D119" i="17"/>
  <c r="R116" i="17"/>
  <c r="Q116" i="17"/>
  <c r="L115" i="17"/>
  <c r="R111" i="17"/>
  <c r="Q111" i="17"/>
  <c r="L110" i="17"/>
  <c r="L108" i="17"/>
  <c r="R106" i="17"/>
  <c r="Q106" i="17"/>
  <c r="L105" i="17"/>
  <c r="L104" i="17"/>
  <c r="L103" i="17"/>
  <c r="R103" i="17"/>
  <c r="R88" i="17"/>
  <c r="R86" i="17"/>
  <c r="Q86" i="17"/>
  <c r="L85" i="17"/>
  <c r="D82" i="17"/>
  <c r="R81" i="17"/>
  <c r="Q81" i="17"/>
  <c r="D79" i="17"/>
  <c r="D78" i="17"/>
  <c r="R76" i="17"/>
  <c r="Q76" i="17"/>
  <c r="D74" i="17"/>
  <c r="L59" i="17"/>
  <c r="D59" i="17"/>
  <c r="L57" i="17"/>
  <c r="D56" i="17"/>
  <c r="R55" i="17"/>
  <c r="Q55" i="17"/>
  <c r="L52" i="17"/>
  <c r="R52" i="17"/>
  <c r="R50" i="17"/>
  <c r="Q50" i="17"/>
  <c r="L49" i="17"/>
  <c r="L46" i="17"/>
  <c r="R45" i="17"/>
  <c r="Q45" i="17"/>
  <c r="L44" i="17"/>
  <c r="D43" i="17"/>
  <c r="D26" i="17"/>
  <c r="Q26" i="17"/>
  <c r="L25" i="17"/>
  <c r="R23" i="17"/>
  <c r="Q23" i="17"/>
  <c r="D19" i="17"/>
  <c r="R18" i="17"/>
  <c r="Q18" i="17"/>
  <c r="L17" i="17"/>
  <c r="D16" i="17"/>
  <c r="L15" i="17"/>
  <c r="R15" i="17"/>
  <c r="R13" i="17"/>
  <c r="Q13" i="17"/>
  <c r="L10" i="17"/>
  <c r="R12" i="18" l="1"/>
  <c r="Q102" i="18"/>
  <c r="R202" i="18"/>
  <c r="Q103" i="18"/>
  <c r="Q139" i="18"/>
  <c r="Q141" i="18"/>
  <c r="Q172" i="18"/>
  <c r="Q227" i="18"/>
  <c r="Q325" i="18"/>
  <c r="Q84" i="18"/>
  <c r="Q445" i="18"/>
  <c r="Q201" i="18"/>
  <c r="Q328" i="18"/>
  <c r="Q425" i="18"/>
  <c r="Q349" i="18"/>
  <c r="Q11" i="18"/>
  <c r="Q138" i="18"/>
  <c r="R197" i="18"/>
  <c r="Q352" i="18"/>
  <c r="Q19" i="18"/>
  <c r="R77" i="18"/>
  <c r="Q105" i="18"/>
  <c r="R119" i="18"/>
  <c r="Q242" i="18"/>
  <c r="Q14" i="18"/>
  <c r="R49" i="18"/>
  <c r="R51" i="18"/>
  <c r="Q119" i="18"/>
  <c r="Q179" i="18"/>
  <c r="R210" i="18"/>
  <c r="D423" i="18"/>
  <c r="Q423" i="18" s="1"/>
  <c r="Q9" i="18"/>
  <c r="Q16" i="18"/>
  <c r="R44" i="18"/>
  <c r="Q73" i="18"/>
  <c r="R83" i="18"/>
  <c r="Q240" i="18"/>
  <c r="Q271" i="18"/>
  <c r="R25" i="18"/>
  <c r="Q46" i="18"/>
  <c r="Q72" i="18"/>
  <c r="Q148" i="18"/>
  <c r="R194" i="18"/>
  <c r="Q202" i="18"/>
  <c r="Q237" i="18"/>
  <c r="Q15" i="18"/>
  <c r="R24" i="18"/>
  <c r="R48" i="18"/>
  <c r="D52" i="18"/>
  <c r="Q52" i="18" s="1"/>
  <c r="R74" i="18"/>
  <c r="Q75" i="18"/>
  <c r="D167" i="18"/>
  <c r="Q167" i="18" s="1"/>
  <c r="R176" i="18"/>
  <c r="D211" i="18"/>
  <c r="Q211" i="18" s="1"/>
  <c r="Q235" i="18"/>
  <c r="Q304" i="18"/>
  <c r="D26" i="18"/>
  <c r="Q26" i="18" s="1"/>
  <c r="R47" i="18"/>
  <c r="R53" i="18"/>
  <c r="D54" i="18"/>
  <c r="Q54" i="18" s="1"/>
  <c r="R58" i="18"/>
  <c r="Q79" i="18"/>
  <c r="L109" i="18"/>
  <c r="R109" i="18" s="1"/>
  <c r="R113" i="18"/>
  <c r="Q114" i="18"/>
  <c r="L145" i="18"/>
  <c r="R145" i="18" s="1"/>
  <c r="R149" i="18"/>
  <c r="Q150" i="18"/>
  <c r="Q176" i="18"/>
  <c r="R182" i="18"/>
  <c r="R196" i="18"/>
  <c r="D197" i="18"/>
  <c r="Q197" i="18" s="1"/>
  <c r="L210" i="18"/>
  <c r="Q233" i="18"/>
  <c r="D263" i="18"/>
  <c r="Q263" i="18" s="1"/>
  <c r="Q268" i="18"/>
  <c r="D299" i="18"/>
  <c r="Q299" i="18" s="1"/>
  <c r="Q318" i="18"/>
  <c r="Q361" i="18"/>
  <c r="Q390" i="18"/>
  <c r="R135" i="18"/>
  <c r="R201" i="18"/>
  <c r="Q428" i="18"/>
  <c r="L10" i="18"/>
  <c r="R10" i="18" s="1"/>
  <c r="Q17" i="18"/>
  <c r="R26" i="18"/>
  <c r="R57" i="18"/>
  <c r="R72" i="18"/>
  <c r="R105" i="18"/>
  <c r="Q110" i="18"/>
  <c r="Q135" i="18"/>
  <c r="R141" i="18"/>
  <c r="Q146" i="18"/>
  <c r="D171" i="18"/>
  <c r="Q171" i="18" s="1"/>
  <c r="R179" i="18"/>
  <c r="R200" i="18"/>
  <c r="R206" i="18"/>
  <c r="D207" i="18"/>
  <c r="Q207" i="18" s="1"/>
  <c r="R211" i="18"/>
  <c r="Q228" i="18"/>
  <c r="Q230" i="18"/>
  <c r="Q266" i="18"/>
  <c r="Q302" i="18"/>
  <c r="Q335" i="18"/>
  <c r="Q355" i="18"/>
  <c r="Q393" i="18"/>
  <c r="Q427" i="18"/>
  <c r="Q448" i="18"/>
  <c r="Q323" i="18"/>
  <c r="Q356" i="18"/>
  <c r="R17" i="18"/>
  <c r="R180" i="18"/>
  <c r="Q418" i="18"/>
  <c r="L9" i="18"/>
  <c r="R9" i="18" s="1"/>
  <c r="R16" i="18"/>
  <c r="L19" i="18"/>
  <c r="R19" i="18" s="1"/>
  <c r="D24" i="18"/>
  <c r="Q24" i="18" s="1"/>
  <c r="L44" i="18"/>
  <c r="D58" i="18"/>
  <c r="Q58" i="18" s="1"/>
  <c r="L73" i="18"/>
  <c r="R73" i="18" s="1"/>
  <c r="L78" i="18"/>
  <c r="R78" i="18" s="1"/>
  <c r="Q88" i="18"/>
  <c r="L88" i="18"/>
  <c r="R88" i="18" s="1"/>
  <c r="L90" i="18"/>
  <c r="R90" i="18" s="1"/>
  <c r="R104" i="18"/>
  <c r="D108" i="18"/>
  <c r="L110" i="18"/>
  <c r="R110" i="18" s="1"/>
  <c r="L120" i="18"/>
  <c r="R120" i="18" s="1"/>
  <c r="R140" i="18"/>
  <c r="D144" i="18"/>
  <c r="Q144" i="18" s="1"/>
  <c r="L146" i="18"/>
  <c r="R146" i="18" s="1"/>
  <c r="L170" i="18"/>
  <c r="R170" i="18" s="1"/>
  <c r="R199" i="18"/>
  <c r="Q264" i="18"/>
  <c r="Q272" i="18"/>
  <c r="D273" i="18"/>
  <c r="Q273" i="18" s="1"/>
  <c r="D288" i="18"/>
  <c r="Q288" i="18" s="1"/>
  <c r="Q300" i="18"/>
  <c r="Q334" i="18"/>
  <c r="Q380" i="18"/>
  <c r="Q455" i="18"/>
  <c r="D361" i="18"/>
  <c r="Q417" i="18"/>
  <c r="D441" i="18"/>
  <c r="Q441" i="18" s="1"/>
  <c r="Q457" i="18"/>
  <c r="R27" i="18"/>
  <c r="Q42" i="18"/>
  <c r="D43" i="18"/>
  <c r="Q43" i="18" s="1"/>
  <c r="D51" i="18"/>
  <c r="Q51" i="18" s="1"/>
  <c r="Q53" i="18"/>
  <c r="R59" i="18"/>
  <c r="D77" i="18"/>
  <c r="Q77" i="18" s="1"/>
  <c r="Q80" i="18"/>
  <c r="D107" i="18"/>
  <c r="Q107" i="18" s="1"/>
  <c r="Q109" i="18"/>
  <c r="R115" i="18"/>
  <c r="Q118" i="18"/>
  <c r="D119" i="18"/>
  <c r="Q134" i="18"/>
  <c r="D135" i="18"/>
  <c r="D143" i="18"/>
  <c r="Q143" i="18" s="1"/>
  <c r="Q145" i="18"/>
  <c r="R151" i="18"/>
  <c r="D164" i="18"/>
  <c r="Q164" i="18" s="1"/>
  <c r="Q166" i="18"/>
  <c r="R172" i="18"/>
  <c r="Q175" i="18"/>
  <c r="D176" i="18"/>
  <c r="Q195" i="18"/>
  <c r="D196" i="18"/>
  <c r="Q196" i="18" s="1"/>
  <c r="D204" i="18"/>
  <c r="Q204" i="18" s="1"/>
  <c r="Q206" i="18"/>
  <c r="R212" i="18"/>
  <c r="Q225" i="18"/>
  <c r="Q267" i="18"/>
  <c r="D271" i="18"/>
  <c r="D287" i="18"/>
  <c r="Q287" i="18" s="1"/>
  <c r="Q303" i="18"/>
  <c r="D320" i="18"/>
  <c r="Q320" i="18" s="1"/>
  <c r="Q333" i="18"/>
  <c r="D397" i="18"/>
  <c r="Q397" i="18" s="1"/>
  <c r="Q416" i="18"/>
  <c r="D420" i="18"/>
  <c r="Q420" i="18" s="1"/>
  <c r="D440" i="18"/>
  <c r="Q440" i="18" s="1"/>
  <c r="Q456" i="18"/>
  <c r="R56" i="18"/>
  <c r="D90" i="18"/>
  <c r="Q90" i="18" s="1"/>
  <c r="Q108" i="18"/>
  <c r="R112" i="18"/>
  <c r="R148" i="18"/>
  <c r="Q165" i="18"/>
  <c r="R169" i="18"/>
  <c r="Q205" i="18"/>
  <c r="L205" i="18"/>
  <c r="R205" i="18" s="1"/>
  <c r="R209" i="18"/>
  <c r="Q232" i="18"/>
  <c r="Q262" i="18"/>
  <c r="Q298" i="18"/>
  <c r="Q321" i="18"/>
  <c r="D324" i="18"/>
  <c r="Q324" i="18" s="1"/>
  <c r="Q362" i="18"/>
  <c r="D365" i="18"/>
  <c r="Q365" i="18" s="1"/>
  <c r="Q398" i="18"/>
  <c r="Q411" i="18"/>
  <c r="Q451" i="18"/>
  <c r="Q412" i="18"/>
  <c r="Q452" i="18"/>
  <c r="D41" i="18"/>
  <c r="Q41" i="18" s="1"/>
  <c r="Q44" i="18"/>
  <c r="L52" i="18"/>
  <c r="R52" i="18" s="1"/>
  <c r="R75" i="18"/>
  <c r="Q78" i="18"/>
  <c r="D79" i="18"/>
  <c r="D87" i="18"/>
  <c r="Q87" i="18" s="1"/>
  <c r="Q89" i="18"/>
  <c r="L89" i="18"/>
  <c r="R89" i="18" s="1"/>
  <c r="L108" i="18"/>
  <c r="R108" i="18" s="1"/>
  <c r="D117" i="18"/>
  <c r="Q117" i="18" s="1"/>
  <c r="Q120" i="18"/>
  <c r="D133" i="18"/>
  <c r="Q133" i="18" s="1"/>
  <c r="Q136" i="18"/>
  <c r="L144" i="18"/>
  <c r="R144" i="18" s="1"/>
  <c r="L165" i="18"/>
  <c r="R165" i="18" s="1"/>
  <c r="D174" i="18"/>
  <c r="Q174" i="18" s="1"/>
  <c r="Q177" i="18"/>
  <c r="D194" i="18"/>
  <c r="Q194" i="18" s="1"/>
  <c r="Q231" i="18"/>
  <c r="D235" i="18"/>
  <c r="Q261" i="18"/>
  <c r="D318" i="18"/>
  <c r="D323" i="18"/>
  <c r="D359" i="18"/>
  <c r="Q359" i="18" s="1"/>
  <c r="D364" i="18"/>
  <c r="Q364" i="18" s="1"/>
  <c r="D380" i="18"/>
  <c r="D395" i="18"/>
  <c r="Q395" i="18" s="1"/>
  <c r="Q410" i="18"/>
  <c r="Q450" i="18"/>
  <c r="Q9" i="17"/>
  <c r="Q72" i="17"/>
  <c r="Q107" i="17"/>
  <c r="Q117" i="17"/>
  <c r="Q143" i="17"/>
  <c r="Q240" i="17"/>
  <c r="Q256" i="17"/>
  <c r="Q328" i="17"/>
  <c r="Q354" i="17"/>
  <c r="Q385" i="17"/>
  <c r="Q425" i="17"/>
  <c r="Q82" i="17"/>
  <c r="Q25" i="17"/>
  <c r="Q73" i="17"/>
  <c r="Q120" i="17"/>
  <c r="Q136" i="17"/>
  <c r="Q172" i="17"/>
  <c r="Q207" i="17"/>
  <c r="Q325" i="17"/>
  <c r="Q412" i="17"/>
  <c r="Q445" i="17"/>
  <c r="Q292" i="17"/>
  <c r="Q204" i="17"/>
  <c r="Q145" i="17"/>
  <c r="R115" i="17"/>
  <c r="R44" i="17"/>
  <c r="R10" i="17"/>
  <c r="Q238" i="17"/>
  <c r="D10" i="17"/>
  <c r="Q10" i="17" s="1"/>
  <c r="Q75" i="17"/>
  <c r="R144" i="17"/>
  <c r="Q179" i="17"/>
  <c r="R140" i="17"/>
  <c r="R146" i="17"/>
  <c r="Q148" i="17"/>
  <c r="Q181" i="17"/>
  <c r="Q259" i="17"/>
  <c r="Q295" i="17"/>
  <c r="R212" i="17"/>
  <c r="Q12" i="17"/>
  <c r="Q59" i="17"/>
  <c r="Q74" i="17"/>
  <c r="Q110" i="17"/>
  <c r="R135" i="17"/>
  <c r="R143" i="17"/>
  <c r="Q194" i="17"/>
  <c r="Q197" i="17"/>
  <c r="Q258" i="17"/>
  <c r="Q294" i="17"/>
  <c r="Q15" i="17"/>
  <c r="R24" i="17"/>
  <c r="R73" i="17"/>
  <c r="Q77" i="17"/>
  <c r="R89" i="17"/>
  <c r="R108" i="17"/>
  <c r="R119" i="17"/>
  <c r="R195" i="17"/>
  <c r="R201" i="17"/>
  <c r="R206" i="17"/>
  <c r="R211" i="17"/>
  <c r="Q226" i="17"/>
  <c r="Q334" i="17"/>
  <c r="Q357" i="17"/>
  <c r="Q393" i="17"/>
  <c r="R14" i="17"/>
  <c r="R43" i="17"/>
  <c r="D44" i="17"/>
  <c r="Q44" i="17" s="1"/>
  <c r="R48" i="17"/>
  <c r="R53" i="17"/>
  <c r="R72" i="17"/>
  <c r="R107" i="17"/>
  <c r="R166" i="17"/>
  <c r="D167" i="17"/>
  <c r="Q167" i="17" s="1"/>
  <c r="R171" i="17"/>
  <c r="R176" i="17"/>
  <c r="R194" i="17"/>
  <c r="Q269" i="17"/>
  <c r="Q305" i="17"/>
  <c r="Q319" i="17"/>
  <c r="D320" i="17"/>
  <c r="Q320" i="17" s="1"/>
  <c r="Q356" i="17"/>
  <c r="Q392" i="17"/>
  <c r="Q418" i="17"/>
  <c r="Q458" i="17"/>
  <c r="L12" i="17"/>
  <c r="R12" i="17" s="1"/>
  <c r="Q14" i="17"/>
  <c r="L22" i="17"/>
  <c r="R22" i="17" s="1"/>
  <c r="Q53" i="17"/>
  <c r="R59" i="17"/>
  <c r="R134" i="17"/>
  <c r="Q135" i="17"/>
  <c r="D150" i="17"/>
  <c r="Q150" i="17" s="1"/>
  <c r="R182" i="17"/>
  <c r="Q233" i="17"/>
  <c r="D263" i="17"/>
  <c r="Q263" i="17" s="1"/>
  <c r="Q268" i="17"/>
  <c r="D299" i="17"/>
  <c r="Q299" i="17" s="1"/>
  <c r="Q304" i="17"/>
  <c r="D326" i="17"/>
  <c r="Q326" i="17" s="1"/>
  <c r="Q391" i="17"/>
  <c r="R133" i="17"/>
  <c r="R181" i="17"/>
  <c r="Q361" i="17"/>
  <c r="Q390" i="17"/>
  <c r="Q450" i="17"/>
  <c r="R57" i="17"/>
  <c r="Q171" i="17"/>
  <c r="Q288" i="17"/>
  <c r="L9" i="17"/>
  <c r="R9" i="17" s="1"/>
  <c r="R16" i="17"/>
  <c r="L19" i="17"/>
  <c r="R19" i="17" s="1"/>
  <c r="D24" i="17"/>
  <c r="Q24" i="17" s="1"/>
  <c r="D48" i="17"/>
  <c r="R56" i="17"/>
  <c r="L83" i="17"/>
  <c r="R83" i="17" s="1"/>
  <c r="R104" i="17"/>
  <c r="D105" i="17"/>
  <c r="Q105" i="17" s="1"/>
  <c r="L118" i="17"/>
  <c r="R118" i="17" s="1"/>
  <c r="R138" i="17"/>
  <c r="D139" i="17"/>
  <c r="D171" i="17"/>
  <c r="R179" i="17"/>
  <c r="Q228" i="17"/>
  <c r="Q230" i="17"/>
  <c r="Q266" i="17"/>
  <c r="D274" i="17"/>
  <c r="Q274" i="17" s="1"/>
  <c r="Q302" i="17"/>
  <c r="Q336" i="17"/>
  <c r="Q415" i="17"/>
  <c r="Q455" i="17"/>
  <c r="Q395" i="17"/>
  <c r="R17" i="17"/>
  <c r="Q17" i="17"/>
  <c r="R26" i="17"/>
  <c r="Q48" i="17"/>
  <c r="R180" i="17"/>
  <c r="Q16" i="17"/>
  <c r="R25" i="17"/>
  <c r="L47" i="17"/>
  <c r="R47" i="17" s="1"/>
  <c r="R75" i="17"/>
  <c r="Q80" i="17"/>
  <c r="Q104" i="17"/>
  <c r="R110" i="17"/>
  <c r="Q115" i="17"/>
  <c r="D149" i="17"/>
  <c r="Q149" i="17" s="1"/>
  <c r="R150" i="17"/>
  <c r="L170" i="17"/>
  <c r="R170" i="17" s="1"/>
  <c r="R197" i="17"/>
  <c r="Q202" i="17"/>
  <c r="Q264" i="17"/>
  <c r="Q272" i="17"/>
  <c r="D273" i="17"/>
  <c r="Q273" i="17" s="1"/>
  <c r="D288" i="17"/>
  <c r="Q300" i="17"/>
  <c r="Q365" i="17"/>
  <c r="Q413" i="17"/>
  <c r="Q421" i="17"/>
  <c r="Q360" i="17"/>
  <c r="Q396" i="17"/>
  <c r="D441" i="17"/>
  <c r="Q441" i="17" s="1"/>
  <c r="Q457" i="17"/>
  <c r="D41" i="17"/>
  <c r="Q41" i="17" s="1"/>
  <c r="Q43" i="17"/>
  <c r="R49" i="17"/>
  <c r="Q52" i="17"/>
  <c r="D53" i="17"/>
  <c r="D77" i="17"/>
  <c r="Q79" i="17"/>
  <c r="R85" i="17"/>
  <c r="Q88" i="17"/>
  <c r="D89" i="17"/>
  <c r="Q89" i="17" s="1"/>
  <c r="Q103" i="17"/>
  <c r="D104" i="17"/>
  <c r="D112" i="17"/>
  <c r="Q112" i="17" s="1"/>
  <c r="Q114" i="17"/>
  <c r="R120" i="17"/>
  <c r="D138" i="17"/>
  <c r="Q138" i="17" s="1"/>
  <c r="Q141" i="17"/>
  <c r="L149" i="17"/>
  <c r="R149" i="17" s="1"/>
  <c r="D164" i="17"/>
  <c r="Q164" i="17" s="1"/>
  <c r="Q166" i="17"/>
  <c r="L166" i="17"/>
  <c r="R172" i="17"/>
  <c r="Q175" i="17"/>
  <c r="D176" i="17"/>
  <c r="Q176" i="17" s="1"/>
  <c r="D199" i="17"/>
  <c r="Q199" i="17" s="1"/>
  <c r="Q201" i="17"/>
  <c r="R207" i="17"/>
  <c r="Q210" i="17"/>
  <c r="D211" i="17"/>
  <c r="Q211" i="17" s="1"/>
  <c r="Q225" i="17"/>
  <c r="Q267" i="17"/>
  <c r="D271" i="17"/>
  <c r="Q271" i="17" s="1"/>
  <c r="D287" i="17"/>
  <c r="Q287" i="17" s="1"/>
  <c r="Q303" i="17"/>
  <c r="Q333" i="17"/>
  <c r="D361" i="17"/>
  <c r="D397" i="17"/>
  <c r="Q397" i="17" s="1"/>
  <c r="Q416" i="17"/>
  <c r="Q417" i="17"/>
  <c r="D420" i="17"/>
  <c r="Q420" i="17" s="1"/>
  <c r="D440" i="17"/>
  <c r="Q440" i="17" s="1"/>
  <c r="Q456" i="17"/>
  <c r="D27" i="17"/>
  <c r="Q27" i="17" s="1"/>
  <c r="Q42" i="17"/>
  <c r="Q78" i="17"/>
  <c r="R82" i="17"/>
  <c r="Q113" i="17"/>
  <c r="R117" i="17"/>
  <c r="D151" i="17"/>
  <c r="Q151" i="17" s="1"/>
  <c r="Q165" i="17"/>
  <c r="R169" i="17"/>
  <c r="Q200" i="17"/>
  <c r="L200" i="17"/>
  <c r="R200" i="17" s="1"/>
  <c r="R204" i="17"/>
  <c r="Q232" i="17"/>
  <c r="Q262" i="17"/>
  <c r="Q298" i="17"/>
  <c r="Q321" i="17"/>
  <c r="D324" i="17"/>
  <c r="Q324" i="17" s="1"/>
  <c r="Q362" i="17"/>
  <c r="D365" i="17"/>
  <c r="Q398" i="17"/>
  <c r="Q411" i="17"/>
  <c r="Q452" i="17"/>
  <c r="R46" i="17"/>
  <c r="L78" i="17"/>
  <c r="R78" i="17" s="1"/>
  <c r="L42" i="17"/>
  <c r="R42" i="17" s="1"/>
  <c r="D51" i="17"/>
  <c r="Q51" i="17" s="1"/>
  <c r="Q54" i="17"/>
  <c r="D87" i="17"/>
  <c r="Q87" i="17" s="1"/>
  <c r="Q90" i="17"/>
  <c r="D102" i="17"/>
  <c r="Q102" i="17" s="1"/>
  <c r="L113" i="17"/>
  <c r="R113" i="17" s="1"/>
  <c r="R136" i="17"/>
  <c r="Q139" i="17"/>
  <c r="D140" i="17"/>
  <c r="Q140" i="17" s="1"/>
  <c r="D148" i="17"/>
  <c r="L165" i="17"/>
  <c r="R165" i="17" s="1"/>
  <c r="D174" i="17"/>
  <c r="Q174" i="17" s="1"/>
  <c r="Q177" i="17"/>
  <c r="D209" i="17"/>
  <c r="Q209" i="17" s="1"/>
  <c r="Q212" i="17"/>
  <c r="Q231" i="17"/>
  <c r="D235" i="17"/>
  <c r="Q235" i="17" s="1"/>
  <c r="Q261" i="17"/>
  <c r="Q297" i="17"/>
  <c r="D318" i="17"/>
  <c r="Q318" i="17" s="1"/>
  <c r="D323" i="17"/>
  <c r="Q323" i="17" s="1"/>
  <c r="D359" i="17"/>
  <c r="Q359" i="17" s="1"/>
  <c r="D364" i="17"/>
  <c r="Q364" i="17" s="1"/>
  <c r="D380" i="17"/>
  <c r="Q380" i="17" s="1"/>
  <c r="D395" i="17"/>
  <c r="Q410" i="17"/>
  <c r="Q451" i="17"/>
  <c r="U643" i="1"/>
  <c r="T643" i="1"/>
  <c r="G643" i="1"/>
  <c r="F643" i="1"/>
  <c r="U642" i="1"/>
  <c r="T642" i="1"/>
  <c r="G642" i="1"/>
  <c r="F642" i="1"/>
  <c r="U641" i="1"/>
  <c r="T641" i="1"/>
  <c r="G641" i="1"/>
  <c r="F641" i="1"/>
  <c r="U640" i="1"/>
  <c r="T640" i="1"/>
  <c r="G640" i="1"/>
  <c r="F640" i="1"/>
  <c r="U639" i="1"/>
  <c r="T639" i="1"/>
  <c r="G639" i="1"/>
  <c r="F639" i="1"/>
  <c r="U638" i="1"/>
  <c r="T638" i="1"/>
  <c r="G638" i="1"/>
  <c r="F638" i="1"/>
  <c r="U637" i="1"/>
  <c r="T637" i="1"/>
  <c r="G637" i="1"/>
  <c r="F637" i="1"/>
  <c r="U636" i="1"/>
  <c r="T636" i="1"/>
  <c r="G636" i="1"/>
  <c r="F636" i="1"/>
  <c r="U635" i="1"/>
  <c r="T635" i="1"/>
  <c r="G635" i="1"/>
  <c r="F635" i="1"/>
  <c r="U634" i="1"/>
  <c r="T634" i="1"/>
  <c r="G634" i="1"/>
  <c r="F634" i="1"/>
  <c r="U633" i="1"/>
  <c r="T633" i="1"/>
  <c r="G633" i="1"/>
  <c r="F633" i="1"/>
  <c r="U632" i="1"/>
  <c r="T632" i="1"/>
  <c r="G632" i="1"/>
  <c r="F632" i="1"/>
  <c r="U631" i="1"/>
  <c r="T631" i="1"/>
  <c r="G631" i="1"/>
  <c r="F631" i="1"/>
  <c r="U630" i="1"/>
  <c r="T630" i="1"/>
  <c r="G630" i="1"/>
  <c r="F630" i="1"/>
  <c r="U629" i="1"/>
  <c r="T629" i="1"/>
  <c r="G629" i="1"/>
  <c r="F629" i="1"/>
  <c r="U628" i="1"/>
  <c r="T628" i="1"/>
  <c r="G628" i="1"/>
  <c r="F628" i="1"/>
  <c r="U627" i="1"/>
  <c r="T627" i="1"/>
  <c r="G627" i="1"/>
  <c r="F627" i="1"/>
  <c r="U626" i="1"/>
  <c r="T626" i="1"/>
  <c r="G626" i="1"/>
  <c r="F626" i="1"/>
  <c r="U625" i="1"/>
  <c r="T625" i="1"/>
  <c r="G625" i="1"/>
  <c r="F625" i="1"/>
  <c r="U624" i="1"/>
  <c r="T624" i="1"/>
  <c r="G624" i="1"/>
  <c r="F624" i="1"/>
  <c r="U623" i="1"/>
  <c r="T623" i="1"/>
  <c r="G623" i="1"/>
  <c r="F623" i="1"/>
  <c r="U622" i="1"/>
  <c r="T622" i="1"/>
  <c r="G622" i="1"/>
  <c r="F622" i="1"/>
  <c r="U621" i="1"/>
  <c r="T621" i="1"/>
  <c r="G621" i="1"/>
  <c r="F621" i="1"/>
  <c r="U620" i="1"/>
  <c r="T620" i="1"/>
  <c r="G620" i="1"/>
  <c r="F620" i="1"/>
  <c r="U619" i="1"/>
  <c r="T619" i="1"/>
  <c r="G619" i="1"/>
  <c r="F619" i="1"/>
  <c r="U618" i="1"/>
  <c r="T618" i="1"/>
  <c r="G618" i="1"/>
  <c r="F618" i="1"/>
  <c r="U617" i="1"/>
  <c r="T617" i="1"/>
  <c r="G617" i="1"/>
  <c r="F617" i="1"/>
  <c r="U616" i="1"/>
  <c r="T616" i="1"/>
  <c r="G616" i="1"/>
  <c r="F616" i="1"/>
  <c r="U615" i="1"/>
  <c r="T615" i="1"/>
  <c r="G615" i="1"/>
  <c r="F615" i="1"/>
  <c r="U614" i="1"/>
  <c r="T614" i="1"/>
  <c r="G614" i="1"/>
  <c r="F614" i="1"/>
  <c r="U613" i="1"/>
  <c r="T613" i="1"/>
  <c r="G613" i="1"/>
  <c r="F613" i="1"/>
  <c r="U612" i="1"/>
  <c r="T612" i="1"/>
  <c r="G612" i="1"/>
  <c r="F612" i="1"/>
  <c r="U611" i="1"/>
  <c r="T611" i="1"/>
  <c r="G611" i="1"/>
  <c r="F611" i="1"/>
  <c r="U610" i="1"/>
  <c r="T610" i="1"/>
  <c r="G610" i="1"/>
  <c r="F610" i="1"/>
  <c r="U609" i="1"/>
  <c r="T609" i="1"/>
  <c r="G609" i="1"/>
  <c r="F609" i="1"/>
  <c r="U608" i="1"/>
  <c r="T608" i="1"/>
  <c r="G608" i="1"/>
  <c r="F608" i="1"/>
  <c r="U607" i="1"/>
  <c r="T607" i="1"/>
  <c r="G607" i="1"/>
  <c r="F607" i="1"/>
  <c r="U606" i="1"/>
  <c r="T606" i="1"/>
  <c r="G606" i="1"/>
  <c r="F606" i="1"/>
  <c r="U605" i="1"/>
  <c r="T605" i="1"/>
  <c r="G605" i="1"/>
  <c r="F605" i="1"/>
  <c r="U604" i="1"/>
  <c r="T604" i="1"/>
  <c r="G604" i="1"/>
  <c r="F604" i="1"/>
  <c r="U603" i="1"/>
  <c r="T603" i="1"/>
  <c r="G603" i="1"/>
  <c r="F603" i="1"/>
  <c r="U602" i="1"/>
  <c r="T602" i="1"/>
  <c r="G602" i="1"/>
  <c r="F602" i="1"/>
  <c r="U601" i="1"/>
  <c r="T601" i="1"/>
  <c r="G601" i="1"/>
  <c r="F601" i="1"/>
  <c r="U600" i="1"/>
  <c r="T600" i="1"/>
  <c r="G600" i="1"/>
  <c r="F600" i="1"/>
  <c r="U599" i="1"/>
  <c r="T599" i="1"/>
  <c r="G599" i="1"/>
  <c r="F599" i="1"/>
  <c r="U598" i="1"/>
  <c r="T598" i="1"/>
  <c r="G598" i="1"/>
  <c r="F598" i="1"/>
  <c r="U597" i="1"/>
  <c r="T597" i="1"/>
  <c r="G597" i="1"/>
  <c r="F597" i="1"/>
  <c r="U596" i="1"/>
  <c r="T596" i="1"/>
  <c r="G596" i="1"/>
  <c r="F596" i="1"/>
  <c r="U595" i="1"/>
  <c r="T595" i="1"/>
  <c r="G595" i="1"/>
  <c r="F595" i="1"/>
  <c r="U594" i="1"/>
  <c r="T594" i="1"/>
  <c r="G594" i="1"/>
  <c r="F594" i="1"/>
  <c r="U593" i="1"/>
  <c r="T593" i="1"/>
  <c r="G593" i="1"/>
  <c r="F593" i="1"/>
  <c r="U592" i="1"/>
  <c r="T592" i="1"/>
  <c r="G592" i="1"/>
  <c r="F592" i="1"/>
  <c r="U591" i="1"/>
  <c r="T591" i="1"/>
  <c r="G591" i="1"/>
  <c r="F591" i="1"/>
  <c r="U590" i="1"/>
  <c r="T590" i="1"/>
  <c r="G590" i="1"/>
  <c r="F590" i="1"/>
  <c r="U589" i="1"/>
  <c r="T589" i="1"/>
  <c r="G589" i="1"/>
  <c r="F589" i="1"/>
  <c r="U588" i="1"/>
  <c r="T588" i="1"/>
  <c r="G588" i="1"/>
  <c r="F588" i="1"/>
  <c r="U587" i="1"/>
  <c r="T587" i="1"/>
  <c r="G587" i="1"/>
  <c r="F587" i="1"/>
  <c r="U586" i="1"/>
  <c r="T586" i="1"/>
  <c r="G586" i="1"/>
  <c r="F586" i="1"/>
  <c r="U585" i="1"/>
  <c r="T585" i="1"/>
  <c r="G585" i="1"/>
  <c r="F585" i="1"/>
  <c r="U584" i="1"/>
  <c r="T584" i="1"/>
  <c r="G584" i="1"/>
  <c r="F584" i="1"/>
  <c r="U583" i="1"/>
  <c r="T583" i="1"/>
  <c r="G583" i="1"/>
  <c r="F583" i="1"/>
  <c r="U582" i="1"/>
  <c r="T582" i="1"/>
  <c r="G582" i="1"/>
  <c r="F582" i="1"/>
  <c r="U581" i="1"/>
  <c r="T581" i="1"/>
  <c r="G581" i="1"/>
  <c r="F581" i="1"/>
  <c r="U580" i="1"/>
  <c r="T580" i="1"/>
  <c r="G580" i="1"/>
  <c r="F580" i="1"/>
  <c r="U579" i="1"/>
  <c r="T579" i="1"/>
  <c r="G579" i="1"/>
  <c r="F579" i="1"/>
  <c r="U578" i="1"/>
  <c r="T578" i="1"/>
  <c r="G578" i="1"/>
  <c r="F578" i="1"/>
  <c r="U577" i="1"/>
  <c r="T577" i="1"/>
  <c r="G577" i="1"/>
  <c r="F577" i="1"/>
  <c r="U576" i="1"/>
  <c r="T576" i="1"/>
  <c r="G576" i="1"/>
  <c r="F576" i="1"/>
  <c r="U575" i="1"/>
  <c r="T575" i="1"/>
  <c r="G575" i="1"/>
  <c r="F575" i="1"/>
  <c r="U574" i="1"/>
  <c r="T574" i="1"/>
  <c r="G574" i="1"/>
  <c r="F574" i="1"/>
  <c r="U573" i="1"/>
  <c r="T573" i="1"/>
  <c r="G573" i="1"/>
  <c r="F573" i="1"/>
  <c r="U572" i="1"/>
  <c r="T572" i="1"/>
  <c r="G572" i="1"/>
  <c r="F572" i="1"/>
  <c r="U571" i="1"/>
  <c r="T571" i="1"/>
  <c r="G571" i="1"/>
  <c r="F571" i="1"/>
  <c r="U570" i="1"/>
  <c r="T570" i="1"/>
  <c r="G570" i="1"/>
  <c r="F570" i="1"/>
  <c r="U569" i="1"/>
  <c r="T569" i="1"/>
  <c r="G569" i="1"/>
  <c r="F569" i="1"/>
  <c r="U568" i="1"/>
  <c r="T568" i="1"/>
  <c r="G568" i="1"/>
  <c r="F568" i="1"/>
  <c r="U567" i="1"/>
  <c r="T567" i="1"/>
  <c r="G567" i="1"/>
  <c r="F567" i="1"/>
  <c r="U566" i="1"/>
  <c r="T566" i="1"/>
  <c r="G566" i="1"/>
  <c r="F566" i="1"/>
  <c r="U565" i="1"/>
  <c r="T565" i="1"/>
  <c r="G565" i="1"/>
  <c r="F565" i="1"/>
  <c r="U564" i="1"/>
  <c r="T564" i="1"/>
  <c r="G564" i="1"/>
  <c r="F564" i="1"/>
  <c r="U563" i="1"/>
  <c r="T563" i="1"/>
  <c r="G563" i="1"/>
  <c r="F563" i="1"/>
  <c r="U562" i="1"/>
  <c r="T562" i="1"/>
  <c r="G562" i="1"/>
  <c r="F562" i="1"/>
  <c r="U561" i="1"/>
  <c r="T561" i="1"/>
  <c r="G561" i="1"/>
  <c r="F561" i="1"/>
  <c r="U560" i="1"/>
  <c r="T560" i="1"/>
  <c r="G560" i="1"/>
  <c r="F560" i="1"/>
  <c r="U559" i="1"/>
  <c r="T559" i="1"/>
  <c r="G559" i="1"/>
  <c r="F559" i="1"/>
  <c r="U558" i="1"/>
  <c r="T558" i="1"/>
  <c r="G558" i="1"/>
  <c r="F558" i="1"/>
  <c r="U557" i="1"/>
  <c r="T557" i="1"/>
  <c r="G557" i="1"/>
  <c r="F557" i="1"/>
  <c r="U556" i="1"/>
  <c r="T556" i="1"/>
  <c r="G556" i="1"/>
  <c r="F556" i="1"/>
  <c r="U555" i="1"/>
  <c r="T555" i="1"/>
  <c r="G555" i="1"/>
  <c r="F555" i="1"/>
  <c r="U554" i="1"/>
  <c r="T554" i="1"/>
  <c r="G554" i="1"/>
  <c r="F554" i="1"/>
  <c r="U553" i="1"/>
  <c r="T553" i="1"/>
  <c r="G553" i="1"/>
  <c r="F553" i="1"/>
  <c r="U552" i="1"/>
  <c r="T552" i="1"/>
  <c r="G552" i="1"/>
  <c r="F552" i="1"/>
  <c r="U551" i="1"/>
  <c r="T551" i="1"/>
  <c r="G551" i="1"/>
  <c r="F551" i="1"/>
  <c r="U550" i="1"/>
  <c r="T550" i="1"/>
  <c r="G550" i="1"/>
  <c r="F550" i="1"/>
  <c r="U549" i="1"/>
  <c r="T549" i="1"/>
  <c r="G549" i="1"/>
  <c r="F549" i="1"/>
  <c r="U548" i="1"/>
  <c r="T548" i="1"/>
  <c r="G548" i="1"/>
  <c r="F548" i="1"/>
  <c r="U547" i="1"/>
  <c r="T547" i="1"/>
  <c r="G547" i="1"/>
  <c r="F547" i="1"/>
  <c r="U546" i="1"/>
  <c r="T546" i="1"/>
  <c r="G546" i="1"/>
  <c r="F546" i="1"/>
  <c r="U545" i="1"/>
  <c r="T545" i="1"/>
  <c r="G545" i="1"/>
  <c r="F545" i="1"/>
  <c r="U544" i="1"/>
  <c r="T544" i="1"/>
  <c r="G544" i="1"/>
  <c r="F544" i="1"/>
  <c r="U543" i="1"/>
  <c r="T543" i="1"/>
  <c r="G543" i="1"/>
  <c r="F543" i="1"/>
  <c r="U542" i="1"/>
  <c r="T542" i="1"/>
  <c r="G542" i="1"/>
  <c r="F542" i="1"/>
  <c r="U541" i="1"/>
  <c r="T541" i="1"/>
  <c r="G541" i="1"/>
  <c r="F541" i="1"/>
  <c r="U540" i="1"/>
  <c r="T540" i="1"/>
  <c r="G540" i="1"/>
  <c r="F540" i="1"/>
  <c r="U539" i="1"/>
  <c r="T539" i="1"/>
  <c r="G539" i="1"/>
  <c r="F539" i="1"/>
  <c r="U538" i="1"/>
  <c r="T538" i="1"/>
  <c r="G538" i="1"/>
  <c r="F538" i="1"/>
  <c r="U537" i="1"/>
  <c r="T537" i="1"/>
  <c r="G537" i="1"/>
  <c r="F537" i="1"/>
  <c r="U536" i="1"/>
  <c r="T536" i="1"/>
  <c r="G536" i="1"/>
  <c r="F536" i="1"/>
  <c r="U535" i="1"/>
  <c r="T535" i="1"/>
  <c r="G535" i="1"/>
  <c r="F535" i="1"/>
  <c r="U534" i="1"/>
  <c r="T534" i="1"/>
  <c r="G534" i="1"/>
  <c r="F534" i="1"/>
  <c r="U533" i="1"/>
  <c r="T533" i="1"/>
  <c r="G533" i="1"/>
  <c r="F533" i="1"/>
  <c r="U532" i="1"/>
  <c r="T532" i="1"/>
  <c r="G532" i="1"/>
  <c r="F532" i="1"/>
  <c r="U531" i="1"/>
  <c r="T531" i="1"/>
  <c r="G531" i="1"/>
  <c r="F531" i="1"/>
  <c r="U530" i="1"/>
  <c r="T530" i="1"/>
  <c r="G530" i="1"/>
  <c r="F530" i="1"/>
  <c r="U529" i="1"/>
  <c r="T529" i="1"/>
  <c r="G529" i="1"/>
  <c r="F529" i="1"/>
  <c r="U528" i="1"/>
  <c r="T528" i="1"/>
  <c r="G528" i="1"/>
  <c r="F528" i="1"/>
  <c r="U527" i="1"/>
  <c r="T527" i="1"/>
  <c r="G527" i="1"/>
  <c r="F527" i="1"/>
  <c r="U526" i="1"/>
  <c r="T526" i="1"/>
  <c r="G526" i="1"/>
  <c r="F526" i="1"/>
  <c r="U525" i="1"/>
  <c r="T525" i="1"/>
  <c r="G525" i="1"/>
  <c r="F525" i="1"/>
  <c r="U524" i="1"/>
  <c r="T524" i="1"/>
  <c r="G524" i="1"/>
  <c r="F524" i="1"/>
  <c r="U523" i="1"/>
  <c r="T523" i="1"/>
  <c r="G523" i="1"/>
  <c r="F523" i="1"/>
  <c r="U522" i="1"/>
  <c r="T522" i="1"/>
  <c r="G522" i="1"/>
  <c r="F522" i="1"/>
  <c r="U521" i="1"/>
  <c r="T521" i="1"/>
  <c r="G521" i="1"/>
  <c r="F521" i="1"/>
  <c r="U520" i="1"/>
  <c r="T520" i="1"/>
  <c r="G520" i="1"/>
  <c r="F520" i="1"/>
  <c r="U519" i="1"/>
  <c r="T519" i="1"/>
  <c r="G519" i="1"/>
  <c r="F519" i="1"/>
  <c r="U518" i="1"/>
  <c r="T518" i="1"/>
  <c r="G518" i="1"/>
  <c r="F518" i="1"/>
  <c r="U517" i="1"/>
  <c r="T517" i="1"/>
  <c r="G517" i="1"/>
  <c r="F517" i="1"/>
  <c r="U516" i="1"/>
  <c r="T516" i="1"/>
  <c r="G516" i="1"/>
  <c r="F516" i="1"/>
  <c r="U515" i="1"/>
  <c r="T515" i="1"/>
  <c r="G515" i="1"/>
  <c r="F515" i="1"/>
  <c r="U514" i="1"/>
  <c r="T514" i="1"/>
  <c r="G514" i="1"/>
  <c r="F514" i="1"/>
  <c r="U513" i="1"/>
  <c r="T513" i="1"/>
  <c r="G513" i="1"/>
  <c r="F513" i="1"/>
  <c r="U512" i="1"/>
  <c r="T512" i="1"/>
  <c r="G512" i="1"/>
  <c r="F512" i="1"/>
  <c r="U511" i="1"/>
  <c r="T511" i="1"/>
  <c r="G511" i="1"/>
  <c r="F511" i="1"/>
  <c r="U510" i="1"/>
  <c r="T510" i="1"/>
  <c r="G510" i="1"/>
  <c r="F510" i="1"/>
  <c r="U509" i="1"/>
  <c r="T509" i="1"/>
  <c r="G509" i="1"/>
  <c r="F509" i="1"/>
  <c r="U508" i="1"/>
  <c r="T508" i="1"/>
  <c r="G508" i="1"/>
  <c r="F508" i="1"/>
  <c r="U507" i="1"/>
  <c r="T507" i="1"/>
  <c r="G507" i="1"/>
  <c r="F507" i="1"/>
  <c r="U506" i="1"/>
  <c r="T506" i="1"/>
  <c r="G506" i="1"/>
  <c r="F506" i="1"/>
  <c r="U505" i="1"/>
  <c r="T505" i="1"/>
  <c r="G505" i="1"/>
  <c r="F505" i="1"/>
  <c r="U504" i="1"/>
  <c r="T504" i="1"/>
  <c r="G504" i="1"/>
  <c r="F504" i="1"/>
  <c r="U503" i="1"/>
  <c r="T503" i="1"/>
  <c r="G503" i="1"/>
  <c r="F503" i="1"/>
  <c r="U502" i="1"/>
  <c r="T502" i="1"/>
  <c r="G502" i="1"/>
  <c r="F502" i="1"/>
  <c r="U501" i="1"/>
  <c r="T501" i="1"/>
  <c r="G501" i="1"/>
  <c r="F501" i="1"/>
  <c r="U500" i="1"/>
  <c r="T500" i="1"/>
  <c r="G500" i="1"/>
  <c r="F500" i="1"/>
  <c r="U499" i="1"/>
  <c r="T499" i="1"/>
  <c r="G499" i="1"/>
  <c r="F499" i="1"/>
  <c r="U498" i="1"/>
  <c r="T498" i="1"/>
  <c r="G498" i="1"/>
  <c r="F498" i="1"/>
  <c r="U497" i="1"/>
  <c r="T497" i="1"/>
  <c r="G497" i="1"/>
  <c r="F497" i="1"/>
  <c r="U496" i="1"/>
  <c r="T496" i="1"/>
  <c r="G496" i="1"/>
  <c r="F496" i="1"/>
  <c r="U495" i="1"/>
  <c r="T495" i="1"/>
  <c r="G495" i="1"/>
  <c r="F495" i="1"/>
  <c r="U494" i="1"/>
  <c r="T494" i="1"/>
  <c r="G494" i="1"/>
  <c r="F494" i="1"/>
  <c r="U493" i="1"/>
  <c r="T493" i="1"/>
  <c r="G493" i="1"/>
  <c r="F493" i="1"/>
  <c r="U492" i="1"/>
  <c r="T492" i="1"/>
  <c r="G492" i="1"/>
  <c r="F492" i="1"/>
  <c r="U491" i="1"/>
  <c r="T491" i="1"/>
  <c r="G491" i="1"/>
  <c r="F491" i="1"/>
  <c r="U490" i="1"/>
  <c r="T490" i="1"/>
  <c r="G490" i="1"/>
  <c r="F490" i="1"/>
  <c r="U489" i="1"/>
  <c r="T489" i="1"/>
  <c r="G489" i="1"/>
  <c r="F489" i="1"/>
  <c r="U488" i="1"/>
  <c r="T488" i="1"/>
  <c r="G488" i="1"/>
  <c r="F488" i="1"/>
  <c r="U487" i="1"/>
  <c r="T487" i="1"/>
  <c r="G487" i="1"/>
  <c r="F487" i="1"/>
  <c r="U486" i="1"/>
  <c r="T486" i="1"/>
  <c r="G486" i="1"/>
  <c r="F486" i="1"/>
  <c r="U485" i="1"/>
  <c r="T485" i="1"/>
  <c r="G485" i="1"/>
  <c r="F485" i="1"/>
  <c r="U484" i="1"/>
  <c r="T484" i="1"/>
  <c r="G484" i="1"/>
  <c r="F484" i="1"/>
  <c r="U483" i="1"/>
  <c r="T483" i="1"/>
  <c r="G483" i="1"/>
  <c r="F483" i="1"/>
  <c r="U482" i="1"/>
  <c r="T482" i="1"/>
  <c r="G482" i="1"/>
  <c r="F482" i="1"/>
  <c r="U481" i="1"/>
  <c r="T481" i="1"/>
  <c r="G481" i="1"/>
  <c r="F481" i="1"/>
  <c r="U480" i="1"/>
  <c r="T480" i="1"/>
  <c r="G480" i="1"/>
  <c r="F480" i="1"/>
  <c r="U479" i="1"/>
  <c r="T479" i="1"/>
  <c r="G479" i="1"/>
  <c r="F479" i="1"/>
  <c r="U478" i="1"/>
  <c r="T478" i="1"/>
  <c r="G478" i="1"/>
  <c r="F478" i="1"/>
  <c r="U477" i="1"/>
  <c r="T477" i="1"/>
  <c r="G477" i="1"/>
  <c r="F477" i="1"/>
  <c r="U476" i="1"/>
  <c r="T476" i="1"/>
  <c r="G476" i="1"/>
  <c r="F476" i="1"/>
  <c r="U475" i="1"/>
  <c r="T475" i="1"/>
  <c r="G475" i="1"/>
  <c r="F475" i="1"/>
  <c r="U474" i="1"/>
  <c r="T474" i="1"/>
  <c r="G474" i="1"/>
  <c r="F474" i="1"/>
  <c r="U473" i="1"/>
  <c r="T473" i="1"/>
  <c r="G473" i="1"/>
  <c r="F473" i="1"/>
  <c r="U472" i="1"/>
  <c r="T472" i="1"/>
  <c r="G472" i="1"/>
  <c r="F472" i="1"/>
  <c r="U471" i="1"/>
  <c r="T471" i="1"/>
  <c r="G471" i="1"/>
  <c r="F471" i="1"/>
  <c r="U470" i="1"/>
  <c r="T470" i="1"/>
  <c r="G470" i="1"/>
  <c r="F470" i="1"/>
  <c r="U469" i="1"/>
  <c r="T469" i="1"/>
  <c r="G469" i="1"/>
  <c r="F469" i="1"/>
  <c r="U468" i="1"/>
  <c r="T468" i="1"/>
  <c r="G468" i="1"/>
  <c r="F468" i="1"/>
  <c r="U467" i="1"/>
  <c r="T467" i="1"/>
  <c r="G467" i="1"/>
  <c r="F467" i="1"/>
  <c r="U466" i="1"/>
  <c r="T466" i="1"/>
  <c r="G466" i="1"/>
  <c r="F466" i="1"/>
  <c r="U465" i="1"/>
  <c r="T465" i="1"/>
  <c r="G465" i="1"/>
  <c r="F465" i="1"/>
  <c r="U464" i="1"/>
  <c r="T464" i="1"/>
  <c r="G464" i="1"/>
  <c r="F464" i="1"/>
  <c r="U463" i="1"/>
  <c r="T463" i="1"/>
  <c r="G463" i="1"/>
  <c r="F463" i="1"/>
  <c r="U462" i="1"/>
  <c r="T462" i="1"/>
  <c r="G462" i="1"/>
  <c r="F462" i="1"/>
  <c r="U461" i="1"/>
  <c r="T461" i="1"/>
  <c r="G461" i="1"/>
  <c r="F461" i="1"/>
  <c r="U460" i="1"/>
  <c r="T460" i="1"/>
  <c r="G460" i="1"/>
  <c r="F460" i="1"/>
  <c r="U459" i="1"/>
  <c r="T459" i="1"/>
  <c r="G459" i="1"/>
  <c r="F459" i="1"/>
  <c r="U458" i="1"/>
  <c r="T458" i="1"/>
  <c r="G458" i="1"/>
  <c r="F458" i="1"/>
  <c r="U457" i="1"/>
  <c r="T457" i="1"/>
  <c r="G457" i="1"/>
  <c r="F457" i="1"/>
  <c r="U456" i="1"/>
  <c r="T456" i="1"/>
  <c r="G456" i="1"/>
  <c r="F456" i="1"/>
  <c r="U455" i="1"/>
  <c r="T455" i="1"/>
  <c r="G455" i="1"/>
  <c r="F455" i="1"/>
  <c r="U454" i="1"/>
  <c r="T454" i="1"/>
  <c r="G454" i="1"/>
  <c r="F454" i="1"/>
  <c r="U453" i="1"/>
  <c r="T453" i="1"/>
  <c r="G453" i="1"/>
  <c r="F453" i="1"/>
  <c r="U452" i="1"/>
  <c r="T452" i="1"/>
  <c r="G452" i="1"/>
  <c r="F452" i="1"/>
  <c r="U451" i="1"/>
  <c r="T451" i="1"/>
  <c r="G451" i="1"/>
  <c r="F451" i="1"/>
  <c r="U450" i="1"/>
  <c r="T450" i="1"/>
  <c r="G450" i="1"/>
  <c r="F450" i="1"/>
  <c r="U449" i="1"/>
  <c r="T449" i="1"/>
  <c r="G449" i="1"/>
  <c r="F449" i="1"/>
  <c r="U448" i="1"/>
  <c r="T448" i="1"/>
  <c r="G448" i="1"/>
  <c r="F448" i="1"/>
  <c r="U447" i="1"/>
  <c r="T447" i="1"/>
  <c r="G447" i="1"/>
  <c r="F447" i="1"/>
  <c r="U446" i="1"/>
  <c r="T446" i="1"/>
  <c r="G446" i="1"/>
  <c r="F446" i="1"/>
  <c r="U445" i="1"/>
  <c r="T445" i="1"/>
  <c r="G445" i="1"/>
  <c r="F445" i="1"/>
  <c r="U444" i="1"/>
  <c r="T444" i="1"/>
  <c r="G444" i="1"/>
  <c r="F444" i="1"/>
  <c r="U443" i="1"/>
  <c r="T443" i="1"/>
  <c r="G443" i="1"/>
  <c r="F443" i="1"/>
  <c r="U442" i="1"/>
  <c r="T442" i="1"/>
  <c r="G442" i="1"/>
  <c r="F442" i="1"/>
  <c r="U441" i="1"/>
  <c r="T441" i="1"/>
  <c r="G441" i="1"/>
  <c r="F441" i="1"/>
  <c r="U440" i="1"/>
  <c r="T440" i="1"/>
  <c r="G440" i="1"/>
  <c r="F440" i="1"/>
  <c r="U439" i="1"/>
  <c r="T439" i="1"/>
  <c r="G439" i="1"/>
  <c r="F439" i="1"/>
  <c r="U438" i="1"/>
  <c r="T438" i="1"/>
  <c r="G438" i="1"/>
  <c r="F438" i="1"/>
  <c r="U437" i="1"/>
  <c r="T437" i="1"/>
  <c r="G437" i="1"/>
  <c r="F437" i="1"/>
  <c r="U436" i="1"/>
  <c r="T436" i="1"/>
  <c r="G436" i="1"/>
  <c r="F436" i="1"/>
  <c r="U435" i="1"/>
  <c r="T435" i="1"/>
  <c r="G435" i="1"/>
  <c r="F435" i="1"/>
  <c r="U434" i="1"/>
  <c r="T434" i="1"/>
  <c r="G434" i="1"/>
  <c r="F434" i="1"/>
  <c r="U433" i="1"/>
  <c r="T433" i="1"/>
  <c r="G433" i="1"/>
  <c r="F433" i="1"/>
  <c r="U432" i="1"/>
  <c r="T432" i="1"/>
  <c r="G432" i="1"/>
  <c r="F432" i="1"/>
  <c r="U431" i="1"/>
  <c r="T431" i="1"/>
  <c r="G431" i="1"/>
  <c r="F431" i="1"/>
  <c r="U430" i="1"/>
  <c r="T430" i="1"/>
  <c r="G430" i="1"/>
  <c r="F430" i="1"/>
  <c r="U429" i="1"/>
  <c r="T429" i="1"/>
  <c r="G429" i="1"/>
  <c r="F429" i="1"/>
  <c r="U428" i="1"/>
  <c r="T428" i="1"/>
  <c r="G428" i="1"/>
  <c r="F428" i="1"/>
  <c r="U427" i="1"/>
  <c r="T427" i="1"/>
  <c r="G427" i="1"/>
  <c r="F427" i="1"/>
  <c r="U426" i="1"/>
  <c r="T426" i="1"/>
  <c r="G426" i="1"/>
  <c r="F426" i="1"/>
  <c r="U425" i="1"/>
  <c r="T425" i="1"/>
  <c r="G425" i="1"/>
  <c r="F425" i="1"/>
  <c r="U424" i="1"/>
  <c r="T424" i="1"/>
  <c r="G424" i="1"/>
  <c r="F424" i="1"/>
  <c r="U423" i="1"/>
  <c r="T423" i="1"/>
  <c r="G423" i="1"/>
  <c r="F423" i="1"/>
  <c r="U422" i="1"/>
  <c r="T422" i="1"/>
  <c r="G422" i="1"/>
  <c r="F422" i="1"/>
  <c r="U421" i="1"/>
  <c r="T421" i="1"/>
  <c r="G421" i="1"/>
  <c r="F421" i="1"/>
  <c r="U420" i="1"/>
  <c r="T420" i="1"/>
  <c r="G420" i="1"/>
  <c r="F420" i="1"/>
  <c r="U419" i="1"/>
  <c r="T419" i="1"/>
  <c r="G419" i="1"/>
  <c r="F419" i="1"/>
  <c r="U418" i="1"/>
  <c r="T418" i="1"/>
  <c r="G418" i="1"/>
  <c r="F418" i="1"/>
  <c r="U417" i="1"/>
  <c r="T417" i="1"/>
  <c r="G417" i="1"/>
  <c r="F417" i="1"/>
  <c r="U416" i="1"/>
  <c r="T416" i="1"/>
  <c r="G416" i="1"/>
  <c r="F416" i="1"/>
  <c r="U415" i="1"/>
  <c r="T415" i="1"/>
  <c r="G415" i="1"/>
  <c r="F415" i="1"/>
  <c r="U414" i="1"/>
  <c r="T414" i="1"/>
  <c r="G414" i="1"/>
  <c r="F414" i="1"/>
  <c r="U413" i="1"/>
  <c r="T413" i="1"/>
  <c r="G413" i="1"/>
  <c r="F413" i="1"/>
  <c r="U412" i="1"/>
  <c r="T412" i="1"/>
  <c r="G412" i="1"/>
  <c r="F412" i="1"/>
  <c r="U411" i="1"/>
  <c r="T411" i="1"/>
  <c r="G411" i="1"/>
  <c r="F411" i="1"/>
  <c r="U410" i="1"/>
  <c r="T410" i="1"/>
  <c r="G410" i="1"/>
  <c r="F410" i="1"/>
  <c r="U409" i="1"/>
  <c r="T409" i="1"/>
  <c r="G409" i="1"/>
  <c r="F409" i="1"/>
  <c r="U408" i="1"/>
  <c r="T408" i="1"/>
  <c r="G408" i="1"/>
  <c r="F408" i="1"/>
  <c r="U407" i="1"/>
  <c r="T407" i="1"/>
  <c r="G407" i="1"/>
  <c r="F407" i="1"/>
  <c r="U406" i="1"/>
  <c r="T406" i="1"/>
  <c r="G406" i="1"/>
  <c r="F406" i="1"/>
  <c r="U405" i="1"/>
  <c r="T405" i="1"/>
  <c r="G405" i="1"/>
  <c r="F405" i="1"/>
  <c r="U404" i="1"/>
  <c r="T404" i="1"/>
  <c r="G404" i="1"/>
  <c r="F404" i="1"/>
  <c r="U403" i="1"/>
  <c r="T403" i="1"/>
  <c r="G403" i="1"/>
  <c r="F403" i="1"/>
  <c r="U402" i="1"/>
  <c r="T402" i="1"/>
  <c r="G402" i="1"/>
  <c r="F402" i="1"/>
  <c r="U401" i="1"/>
  <c r="T401" i="1"/>
  <c r="G401" i="1"/>
  <c r="F401" i="1"/>
  <c r="U400" i="1"/>
  <c r="T400" i="1"/>
  <c r="G400" i="1"/>
  <c r="F400" i="1"/>
  <c r="U399" i="1"/>
  <c r="T399" i="1"/>
  <c r="G399" i="1"/>
  <c r="F399" i="1"/>
  <c r="U398" i="1"/>
  <c r="T398" i="1"/>
  <c r="G398" i="1"/>
  <c r="F398" i="1"/>
  <c r="U397" i="1"/>
  <c r="T397" i="1"/>
  <c r="G397" i="1"/>
  <c r="F397" i="1"/>
  <c r="U396" i="1"/>
  <c r="T396" i="1"/>
  <c r="G396" i="1"/>
  <c r="F396" i="1"/>
  <c r="U395" i="1"/>
  <c r="T395" i="1"/>
  <c r="G395" i="1"/>
  <c r="F395" i="1"/>
  <c r="U394" i="1"/>
  <c r="T394" i="1"/>
  <c r="G394" i="1"/>
  <c r="F394" i="1"/>
  <c r="U393" i="1"/>
  <c r="T393" i="1"/>
  <c r="G393" i="1"/>
  <c r="F393" i="1"/>
  <c r="U392" i="1"/>
  <c r="T392" i="1"/>
  <c r="G392" i="1"/>
  <c r="F392" i="1"/>
  <c r="U391" i="1"/>
  <c r="T391" i="1"/>
  <c r="G391" i="1"/>
  <c r="F391" i="1"/>
  <c r="U390" i="1"/>
  <c r="T390" i="1"/>
  <c r="G390" i="1"/>
  <c r="F390" i="1"/>
  <c r="U389" i="1"/>
  <c r="T389" i="1"/>
  <c r="G389" i="1"/>
  <c r="F389" i="1"/>
  <c r="U388" i="1"/>
  <c r="T388" i="1"/>
  <c r="G388" i="1"/>
  <c r="F388" i="1"/>
  <c r="U387" i="1"/>
  <c r="T387" i="1"/>
  <c r="G387" i="1"/>
  <c r="F387" i="1"/>
  <c r="U386" i="1"/>
  <c r="T386" i="1"/>
  <c r="G386" i="1"/>
  <c r="F386" i="1"/>
  <c r="U385" i="1"/>
  <c r="T385" i="1"/>
  <c r="G385" i="1"/>
  <c r="F385" i="1"/>
  <c r="U384" i="1"/>
  <c r="T384" i="1"/>
  <c r="G384" i="1"/>
  <c r="F384" i="1"/>
  <c r="U383" i="1"/>
  <c r="T383" i="1"/>
  <c r="G383" i="1"/>
  <c r="F383" i="1"/>
  <c r="U382" i="1"/>
  <c r="T382" i="1"/>
  <c r="G382" i="1"/>
  <c r="F382" i="1"/>
  <c r="U381" i="1"/>
  <c r="T381" i="1"/>
  <c r="G381" i="1"/>
  <c r="F381" i="1"/>
  <c r="U380" i="1"/>
  <c r="T380" i="1"/>
  <c r="G380" i="1"/>
  <c r="F380" i="1"/>
  <c r="U379" i="1"/>
  <c r="T379" i="1"/>
  <c r="G379" i="1"/>
  <c r="F379" i="1"/>
  <c r="U378" i="1"/>
  <c r="T378" i="1"/>
  <c r="G378" i="1"/>
  <c r="F378" i="1"/>
  <c r="U377" i="1"/>
  <c r="T377" i="1"/>
  <c r="G377" i="1"/>
  <c r="F377" i="1"/>
  <c r="U376" i="1"/>
  <c r="T376" i="1"/>
  <c r="G376" i="1"/>
  <c r="F376" i="1"/>
  <c r="U375" i="1"/>
  <c r="T375" i="1"/>
  <c r="G375" i="1"/>
  <c r="F375" i="1"/>
  <c r="U374" i="1"/>
  <c r="T374" i="1"/>
  <c r="G374" i="1"/>
  <c r="F374" i="1"/>
  <c r="U373" i="1"/>
  <c r="T373" i="1"/>
  <c r="G373" i="1"/>
  <c r="F373" i="1"/>
  <c r="U372" i="1"/>
  <c r="T372" i="1"/>
  <c r="G372" i="1"/>
  <c r="F372" i="1"/>
  <c r="U370" i="1"/>
  <c r="T370" i="1"/>
  <c r="G370" i="1"/>
  <c r="F370" i="1"/>
  <c r="U369" i="1"/>
  <c r="T369" i="1"/>
  <c r="G369" i="1"/>
  <c r="F369" i="1"/>
  <c r="U368" i="1"/>
  <c r="T368" i="1"/>
  <c r="G368" i="1"/>
  <c r="F368" i="1"/>
  <c r="U367" i="1"/>
  <c r="T367" i="1"/>
  <c r="G367" i="1"/>
  <c r="F367" i="1"/>
  <c r="U366" i="1"/>
  <c r="T366" i="1"/>
  <c r="G366" i="1"/>
  <c r="F366" i="1"/>
  <c r="U365" i="1"/>
  <c r="T365" i="1"/>
  <c r="G365" i="1"/>
  <c r="F365" i="1"/>
  <c r="U364" i="1"/>
  <c r="T364" i="1"/>
  <c r="G364" i="1"/>
  <c r="F364" i="1"/>
  <c r="U363" i="1"/>
  <c r="T363" i="1"/>
  <c r="G363" i="1"/>
  <c r="F363" i="1"/>
  <c r="U362" i="1"/>
  <c r="T362" i="1"/>
  <c r="G362" i="1"/>
  <c r="F362" i="1"/>
  <c r="U361" i="1"/>
  <c r="T361" i="1"/>
  <c r="G361" i="1"/>
  <c r="F361" i="1"/>
  <c r="U360" i="1"/>
  <c r="T360" i="1"/>
  <c r="G360" i="1"/>
  <c r="F360" i="1"/>
  <c r="U359" i="1"/>
  <c r="T359" i="1"/>
  <c r="G359" i="1"/>
  <c r="F359" i="1"/>
  <c r="U358" i="1"/>
  <c r="T358" i="1"/>
  <c r="G358" i="1"/>
  <c r="F358" i="1"/>
  <c r="U357" i="1"/>
  <c r="T357" i="1"/>
  <c r="G357" i="1"/>
  <c r="F357" i="1"/>
  <c r="U356" i="1"/>
  <c r="T356" i="1"/>
  <c r="G356" i="1"/>
  <c r="F356" i="1"/>
  <c r="U355" i="1"/>
  <c r="T355" i="1"/>
  <c r="G355" i="1"/>
  <c r="F355" i="1"/>
  <c r="U354" i="1"/>
  <c r="T354" i="1"/>
  <c r="G354" i="1"/>
  <c r="F354" i="1"/>
  <c r="U353" i="1"/>
  <c r="T353" i="1"/>
  <c r="G353" i="1"/>
  <c r="F353" i="1"/>
  <c r="U352" i="1"/>
  <c r="T352" i="1"/>
  <c r="G352" i="1"/>
  <c r="F352" i="1"/>
  <c r="U351" i="1"/>
  <c r="T351" i="1"/>
  <c r="G351" i="1"/>
  <c r="F351" i="1"/>
  <c r="U350" i="1"/>
  <c r="T350" i="1"/>
  <c r="G350" i="1"/>
  <c r="F350" i="1"/>
  <c r="U349" i="1"/>
  <c r="T349" i="1"/>
  <c r="G349" i="1"/>
  <c r="F349" i="1"/>
  <c r="U348" i="1"/>
  <c r="T348" i="1"/>
  <c r="G348" i="1"/>
  <c r="F348" i="1"/>
  <c r="U347" i="1"/>
  <c r="T347" i="1"/>
  <c r="G347" i="1"/>
  <c r="F347" i="1"/>
  <c r="U346" i="1"/>
  <c r="T346" i="1"/>
  <c r="G346" i="1"/>
  <c r="F346" i="1"/>
  <c r="U345" i="1"/>
  <c r="T345" i="1"/>
  <c r="G345" i="1"/>
  <c r="F345" i="1"/>
  <c r="U344" i="1"/>
  <c r="T344" i="1"/>
  <c r="G344" i="1"/>
  <c r="F344" i="1"/>
  <c r="Q83" i="16"/>
  <c r="I83" i="16"/>
  <c r="Q82" i="16"/>
  <c r="I82" i="16"/>
  <c r="Q81" i="16"/>
  <c r="I81" i="16"/>
  <c r="Q80" i="16"/>
  <c r="I80" i="16"/>
  <c r="Q79" i="16"/>
  <c r="I79" i="16"/>
  <c r="Q78" i="16"/>
  <c r="I78" i="16"/>
  <c r="Q77" i="16"/>
  <c r="I77" i="16"/>
  <c r="Q76" i="16"/>
  <c r="I76" i="16"/>
  <c r="Q75" i="16"/>
  <c r="I75" i="16"/>
  <c r="Q74" i="16"/>
  <c r="I74" i="16"/>
  <c r="Q73" i="16"/>
  <c r="I73" i="16"/>
  <c r="Q72" i="16"/>
  <c r="I72" i="16"/>
  <c r="Q71" i="16"/>
  <c r="I71" i="16"/>
  <c r="Q70" i="16"/>
  <c r="I70" i="16"/>
  <c r="Q69" i="16"/>
  <c r="I69" i="16"/>
  <c r="Q68" i="16"/>
  <c r="I68" i="16"/>
  <c r="Q62" i="16"/>
  <c r="I62" i="16"/>
  <c r="Q61" i="16"/>
  <c r="I61" i="16"/>
  <c r="Q60" i="16"/>
  <c r="I60" i="16"/>
  <c r="Q59" i="16"/>
  <c r="I59" i="16"/>
  <c r="Q58" i="16"/>
  <c r="I58" i="16"/>
  <c r="Q57" i="16"/>
  <c r="I57" i="16"/>
  <c r="Q56" i="16"/>
  <c r="I56" i="16"/>
  <c r="Q55" i="16"/>
  <c r="I55" i="16"/>
  <c r="Q54" i="16"/>
  <c r="I54" i="16"/>
  <c r="Q53" i="16"/>
  <c r="I53" i="16"/>
  <c r="Q52" i="16"/>
  <c r="I52" i="16"/>
  <c r="Q51" i="16"/>
  <c r="I51" i="16"/>
  <c r="Q50" i="16"/>
  <c r="I50" i="16"/>
  <c r="Q49" i="16"/>
  <c r="I49" i="16"/>
  <c r="Q48" i="16"/>
  <c r="I48" i="16"/>
  <c r="Q47" i="16"/>
  <c r="I47" i="16"/>
  <c r="AG41" i="16"/>
  <c r="Y41" i="16"/>
  <c r="Q41" i="16"/>
  <c r="I41" i="16"/>
  <c r="AG40" i="16"/>
  <c r="Y40" i="16"/>
  <c r="Q40" i="16"/>
  <c r="I40" i="16"/>
  <c r="AG39" i="16"/>
  <c r="Y39" i="16"/>
  <c r="Q39" i="16"/>
  <c r="I39" i="16"/>
  <c r="AG38" i="16"/>
  <c r="Y38" i="16"/>
  <c r="Q38" i="16"/>
  <c r="I38" i="16"/>
  <c r="AG37" i="16"/>
  <c r="Y37" i="16"/>
  <c r="Q37" i="16"/>
  <c r="I37" i="16"/>
  <c r="AG36" i="16"/>
  <c r="Y36" i="16"/>
  <c r="Q36" i="16"/>
  <c r="I36" i="16"/>
  <c r="AG35" i="16"/>
  <c r="Y35" i="16"/>
  <c r="Q35" i="16"/>
  <c r="I35" i="16"/>
  <c r="AG34" i="16"/>
  <c r="Y34" i="16"/>
  <c r="Q34" i="16"/>
  <c r="I34" i="16"/>
  <c r="AG33" i="16"/>
  <c r="Y33" i="16"/>
  <c r="Q33" i="16"/>
  <c r="I33" i="16"/>
  <c r="AG32" i="16"/>
  <c r="Y32" i="16"/>
  <c r="Q32" i="16"/>
  <c r="I32" i="16"/>
  <c r="AG31" i="16"/>
  <c r="Y31" i="16"/>
  <c r="Q31" i="16"/>
  <c r="I31" i="16"/>
  <c r="AG30" i="16"/>
  <c r="Y30" i="16"/>
  <c r="Q30" i="16"/>
  <c r="I30" i="16"/>
  <c r="AG29" i="16"/>
  <c r="Y29" i="16"/>
  <c r="Q29" i="16"/>
  <c r="I29" i="16"/>
  <c r="AG28" i="16"/>
  <c r="Y28" i="16"/>
  <c r="Q28" i="16"/>
  <c r="I28" i="16"/>
  <c r="AG27" i="16"/>
  <c r="Y27" i="16"/>
  <c r="Q27" i="16"/>
  <c r="I27" i="16"/>
  <c r="AG26" i="16"/>
  <c r="Y26" i="16"/>
  <c r="P83" i="16"/>
  <c r="H83" i="16"/>
  <c r="P82" i="16"/>
  <c r="H82" i="16"/>
  <c r="P81" i="16"/>
  <c r="H81" i="16"/>
  <c r="P80" i="16"/>
  <c r="H80" i="16"/>
  <c r="P79" i="16"/>
  <c r="H79" i="16"/>
  <c r="P78" i="16"/>
  <c r="H78" i="16"/>
  <c r="P77" i="16"/>
  <c r="H77" i="16"/>
  <c r="P76" i="16"/>
  <c r="H76" i="16"/>
  <c r="P75" i="16"/>
  <c r="H75" i="16"/>
  <c r="P74" i="16"/>
  <c r="H74" i="16"/>
  <c r="P73" i="16"/>
  <c r="H73" i="16"/>
  <c r="P72" i="16"/>
  <c r="H72" i="16"/>
  <c r="P71" i="16"/>
  <c r="H71" i="16"/>
  <c r="P70" i="16"/>
  <c r="H70" i="16"/>
  <c r="P69" i="16"/>
  <c r="H69" i="16"/>
  <c r="P68" i="16"/>
  <c r="H68" i="16"/>
  <c r="P62" i="16"/>
  <c r="H62" i="16"/>
  <c r="P61" i="16"/>
  <c r="H61" i="16"/>
  <c r="P60" i="16"/>
  <c r="H60" i="16"/>
  <c r="P59" i="16"/>
  <c r="H59" i="16"/>
  <c r="P58" i="16"/>
  <c r="H58" i="16"/>
  <c r="P57" i="16"/>
  <c r="H57" i="16"/>
  <c r="P56" i="16"/>
  <c r="H56" i="16"/>
  <c r="P55" i="16"/>
  <c r="H55" i="16"/>
  <c r="P54" i="16"/>
  <c r="H54" i="16"/>
  <c r="P53" i="16"/>
  <c r="H53" i="16"/>
  <c r="P52" i="16"/>
  <c r="H52" i="16"/>
  <c r="P51" i="16"/>
  <c r="H51" i="16"/>
  <c r="P50" i="16"/>
  <c r="H50" i="16"/>
  <c r="P49" i="16"/>
  <c r="H49" i="16"/>
  <c r="P48" i="16"/>
  <c r="H48" i="16"/>
  <c r="P47" i="16"/>
  <c r="H47" i="16"/>
  <c r="AF41" i="16"/>
  <c r="X41" i="16"/>
  <c r="P41" i="16"/>
  <c r="H41" i="16"/>
  <c r="AF40" i="16"/>
  <c r="X40" i="16"/>
  <c r="P40" i="16"/>
  <c r="H40" i="16"/>
  <c r="AF39" i="16"/>
  <c r="X39" i="16"/>
  <c r="P39" i="16"/>
  <c r="H39" i="16"/>
  <c r="AF38" i="16"/>
  <c r="X38" i="16"/>
  <c r="P38" i="16"/>
  <c r="H38" i="16"/>
  <c r="AF37" i="16"/>
  <c r="X37" i="16"/>
  <c r="P37" i="16"/>
  <c r="H37" i="16"/>
  <c r="AF36" i="16"/>
  <c r="X36" i="16"/>
  <c r="P36" i="16"/>
  <c r="H36" i="16"/>
  <c r="AF35" i="16"/>
  <c r="X35" i="16"/>
  <c r="P35" i="16"/>
  <c r="H35" i="16"/>
  <c r="AF34" i="16"/>
  <c r="X34" i="16"/>
  <c r="P34" i="16"/>
  <c r="H34" i="16"/>
  <c r="AF33" i="16"/>
  <c r="X33" i="16"/>
  <c r="P33" i="16"/>
  <c r="H33" i="16"/>
  <c r="AF32" i="16"/>
  <c r="X32" i="16"/>
  <c r="P32" i="16"/>
  <c r="H32" i="16"/>
  <c r="AF31" i="16"/>
  <c r="X31" i="16"/>
  <c r="P31" i="16"/>
  <c r="H31" i="16"/>
  <c r="AF30" i="16"/>
  <c r="X30" i="16"/>
  <c r="P30" i="16"/>
  <c r="H30" i="16"/>
  <c r="AF29" i="16"/>
  <c r="X29" i="16"/>
  <c r="P29" i="16"/>
  <c r="H29" i="16"/>
  <c r="AF28" i="16"/>
  <c r="X28" i="16"/>
  <c r="P28" i="16"/>
  <c r="H28" i="16"/>
  <c r="AF27" i="16"/>
  <c r="X27" i="16"/>
  <c r="P27" i="16"/>
  <c r="H27" i="16"/>
  <c r="AF26" i="16"/>
  <c r="X26" i="16"/>
  <c r="P26" i="16"/>
  <c r="O83" i="16"/>
  <c r="G83" i="16"/>
  <c r="O82" i="16"/>
  <c r="G82" i="16"/>
  <c r="O81" i="16"/>
  <c r="G81" i="16"/>
  <c r="O80" i="16"/>
  <c r="G80" i="16"/>
  <c r="O79" i="16"/>
  <c r="G79" i="16"/>
  <c r="O78" i="16"/>
  <c r="G78" i="16"/>
  <c r="O77" i="16"/>
  <c r="G77" i="16"/>
  <c r="O76" i="16"/>
  <c r="G76" i="16"/>
  <c r="O75" i="16"/>
  <c r="G75" i="16"/>
  <c r="O74" i="16"/>
  <c r="G74" i="16"/>
  <c r="O73" i="16"/>
  <c r="G73" i="16"/>
  <c r="O72" i="16"/>
  <c r="G72" i="16"/>
  <c r="O71" i="16"/>
  <c r="G71" i="16"/>
  <c r="O70" i="16"/>
  <c r="G70" i="16"/>
  <c r="O69" i="16"/>
  <c r="G69" i="16"/>
  <c r="O68" i="16"/>
  <c r="G68" i="16"/>
  <c r="O62" i="16"/>
  <c r="G62" i="16"/>
  <c r="O61" i="16"/>
  <c r="G61" i="16"/>
  <c r="O60" i="16"/>
  <c r="G60" i="16"/>
  <c r="O59" i="16"/>
  <c r="G59" i="16"/>
  <c r="O58" i="16"/>
  <c r="G58" i="16"/>
  <c r="O57" i="16"/>
  <c r="G57" i="16"/>
  <c r="O56" i="16"/>
  <c r="G56" i="16"/>
  <c r="O55" i="16"/>
  <c r="G55" i="16"/>
  <c r="O54" i="16"/>
  <c r="G54" i="16"/>
  <c r="O53" i="16"/>
  <c r="G53" i="16"/>
  <c r="O52" i="16"/>
  <c r="G52" i="16"/>
  <c r="O51" i="16"/>
  <c r="G51" i="16"/>
  <c r="O50" i="16"/>
  <c r="G50" i="16"/>
  <c r="O49" i="16"/>
  <c r="G49" i="16"/>
  <c r="O48" i="16"/>
  <c r="G48" i="16"/>
  <c r="O47" i="16"/>
  <c r="G47" i="16"/>
  <c r="AE41" i="16"/>
  <c r="W41" i="16"/>
  <c r="O41" i="16"/>
  <c r="G41" i="16"/>
  <c r="AE40" i="16"/>
  <c r="W40" i="16"/>
  <c r="O40" i="16"/>
  <c r="G40" i="16"/>
  <c r="AE39" i="16"/>
  <c r="W39" i="16"/>
  <c r="O39" i="16"/>
  <c r="G39" i="16"/>
  <c r="AE38" i="16"/>
  <c r="W38" i="16"/>
  <c r="O38" i="16"/>
  <c r="G38" i="16"/>
  <c r="AE37" i="16"/>
  <c r="W37" i="16"/>
  <c r="O37" i="16"/>
  <c r="G37" i="16"/>
  <c r="AE36" i="16"/>
  <c r="W36" i="16"/>
  <c r="O36" i="16"/>
  <c r="G36" i="16"/>
  <c r="AE35" i="16"/>
  <c r="W35" i="16"/>
  <c r="O35" i="16"/>
  <c r="G35" i="16"/>
  <c r="AE34" i="16"/>
  <c r="W34" i="16"/>
  <c r="O34" i="16"/>
  <c r="G34" i="16"/>
  <c r="AE33" i="16"/>
  <c r="W33" i="16"/>
  <c r="O33" i="16"/>
  <c r="G33" i="16"/>
  <c r="AE32" i="16"/>
  <c r="W32" i="16"/>
  <c r="O32" i="16"/>
  <c r="G32" i="16"/>
  <c r="AE31" i="16"/>
  <c r="W31" i="16"/>
  <c r="O31" i="16"/>
  <c r="G31" i="16"/>
  <c r="AE30" i="16"/>
  <c r="W30" i="16"/>
  <c r="O30" i="16"/>
  <c r="G30" i="16"/>
  <c r="AE29" i="16"/>
  <c r="W29" i="16"/>
  <c r="O29" i="16"/>
  <c r="G29" i="16"/>
  <c r="AE28" i="16"/>
  <c r="W28" i="16"/>
  <c r="O28" i="16"/>
  <c r="G28" i="16"/>
  <c r="AE27" i="16"/>
  <c r="W27" i="16"/>
  <c r="O27" i="16"/>
  <c r="G27" i="16"/>
  <c r="AE26" i="16"/>
  <c r="W26" i="16"/>
  <c r="O26" i="16"/>
  <c r="N83" i="16"/>
  <c r="C83" i="16"/>
  <c r="E82" i="16"/>
  <c r="J81" i="16"/>
  <c r="L80" i="16"/>
  <c r="N79" i="16"/>
  <c r="C79" i="16"/>
  <c r="E78" i="16"/>
  <c r="J77" i="16"/>
  <c r="L76" i="16"/>
  <c r="N75" i="16"/>
  <c r="C75" i="16"/>
  <c r="E74" i="16"/>
  <c r="J73" i="16"/>
  <c r="L72" i="16"/>
  <c r="N71" i="16"/>
  <c r="C71" i="16"/>
  <c r="E70" i="16"/>
  <c r="J69" i="16"/>
  <c r="L68" i="16"/>
  <c r="N62" i="16"/>
  <c r="C62" i="16"/>
  <c r="E61" i="16"/>
  <c r="J60" i="16"/>
  <c r="L59" i="16"/>
  <c r="N58" i="16"/>
  <c r="C58" i="16"/>
  <c r="E57" i="16"/>
  <c r="J56" i="16"/>
  <c r="L55" i="16"/>
  <c r="N54" i="16"/>
  <c r="C54" i="16"/>
  <c r="E53" i="16"/>
  <c r="J52" i="16"/>
  <c r="L51" i="16"/>
  <c r="N50" i="16"/>
  <c r="C50" i="16"/>
  <c r="E49" i="16"/>
  <c r="J48" i="16"/>
  <c r="L47" i="16"/>
  <c r="AD41" i="16"/>
  <c r="S41" i="16"/>
  <c r="E41" i="16"/>
  <c r="Z40" i="16"/>
  <c r="L40" i="16"/>
  <c r="AD39" i="16"/>
  <c r="S39" i="16"/>
  <c r="E39" i="16"/>
  <c r="Z38" i="16"/>
  <c r="L38" i="16"/>
  <c r="AD37" i="16"/>
  <c r="S37" i="16"/>
  <c r="E37" i="16"/>
  <c r="Z36" i="16"/>
  <c r="L36" i="16"/>
  <c r="AD35" i="16"/>
  <c r="S35" i="16"/>
  <c r="E35" i="16"/>
  <c r="Z34" i="16"/>
  <c r="L34" i="16"/>
  <c r="AD33" i="16"/>
  <c r="S33" i="16"/>
  <c r="E33" i="16"/>
  <c r="Z32" i="16"/>
  <c r="L32" i="16"/>
  <c r="AD31" i="16"/>
  <c r="S31" i="16"/>
  <c r="E31" i="16"/>
  <c r="Z30" i="16"/>
  <c r="L30" i="16"/>
  <c r="AD29" i="16"/>
  <c r="S29" i="16"/>
  <c r="E29" i="16"/>
  <c r="Z28" i="16"/>
  <c r="L28" i="16"/>
  <c r="AD27" i="16"/>
  <c r="S27" i="16"/>
  <c r="E27" i="16"/>
  <c r="Z26" i="16"/>
  <c r="M26" i="16"/>
  <c r="E26" i="16"/>
  <c r="AC20" i="16"/>
  <c r="U20" i="16"/>
  <c r="M20" i="16"/>
  <c r="E20" i="16"/>
  <c r="AC19" i="16"/>
  <c r="U19" i="16"/>
  <c r="M19" i="16"/>
  <c r="E19" i="16"/>
  <c r="AC18" i="16"/>
  <c r="U18" i="16"/>
  <c r="M18" i="16"/>
  <c r="E18" i="16"/>
  <c r="AC17" i="16"/>
  <c r="U17" i="16"/>
  <c r="M17" i="16"/>
  <c r="E17" i="16"/>
  <c r="AC16" i="16"/>
  <c r="U16" i="16"/>
  <c r="M16" i="16"/>
  <c r="E16" i="16"/>
  <c r="AC15" i="16"/>
  <c r="U15" i="16"/>
  <c r="M15" i="16"/>
  <c r="E15" i="16"/>
  <c r="AC14" i="16"/>
  <c r="U14" i="16"/>
  <c r="M14" i="16"/>
  <c r="E14" i="16"/>
  <c r="AC13" i="16"/>
  <c r="U13" i="16"/>
  <c r="M13" i="16"/>
  <c r="E13" i="16"/>
  <c r="AC12" i="16"/>
  <c r="U12" i="16"/>
  <c r="M12" i="16"/>
  <c r="E12" i="16"/>
  <c r="AC11" i="16"/>
  <c r="U11" i="16"/>
  <c r="M11" i="16"/>
  <c r="M83" i="16"/>
  <c r="B83" i="16"/>
  <c r="D82" i="16"/>
  <c r="F81" i="16"/>
  <c r="K80" i="16"/>
  <c r="M79" i="16"/>
  <c r="B79" i="16"/>
  <c r="D78" i="16"/>
  <c r="F77" i="16"/>
  <c r="K76" i="16"/>
  <c r="M75" i="16"/>
  <c r="B75" i="16"/>
  <c r="D74" i="16"/>
  <c r="F73" i="16"/>
  <c r="K72" i="16"/>
  <c r="M71" i="16"/>
  <c r="B71" i="16"/>
  <c r="D70" i="16"/>
  <c r="F69" i="16"/>
  <c r="K68" i="16"/>
  <c r="M62" i="16"/>
  <c r="B62" i="16"/>
  <c r="D61" i="16"/>
  <c r="F60" i="16"/>
  <c r="K59" i="16"/>
  <c r="M58" i="16"/>
  <c r="B58" i="16"/>
  <c r="D57" i="16"/>
  <c r="F56" i="16"/>
  <c r="K55" i="16"/>
  <c r="M54" i="16"/>
  <c r="B54" i="16"/>
  <c r="D53" i="16"/>
  <c r="F52" i="16"/>
  <c r="K51" i="16"/>
  <c r="M50" i="16"/>
  <c r="B50" i="16"/>
  <c r="D49" i="16"/>
  <c r="F48" i="16"/>
  <c r="K47" i="16"/>
  <c r="AC41" i="16"/>
  <c r="R41" i="16"/>
  <c r="D41" i="16"/>
  <c r="V40" i="16"/>
  <c r="K40" i="16"/>
  <c r="AC39" i="16"/>
  <c r="R39" i="16"/>
  <c r="D39" i="16"/>
  <c r="V38" i="16"/>
  <c r="K38" i="16"/>
  <c r="AC37" i="16"/>
  <c r="R37" i="16"/>
  <c r="D37" i="16"/>
  <c r="V36" i="16"/>
  <c r="K36" i="16"/>
  <c r="AC35" i="16"/>
  <c r="R35" i="16"/>
  <c r="D35" i="16"/>
  <c r="V34" i="16"/>
  <c r="K34" i="16"/>
  <c r="AC33" i="16"/>
  <c r="R33" i="16"/>
  <c r="D33" i="16"/>
  <c r="V32" i="16"/>
  <c r="K32" i="16"/>
  <c r="AC31" i="16"/>
  <c r="R31" i="16"/>
  <c r="D31" i="16"/>
  <c r="V30" i="16"/>
  <c r="K30" i="16"/>
  <c r="AC29" i="16"/>
  <c r="R29" i="16"/>
  <c r="D29" i="16"/>
  <c r="V28" i="16"/>
  <c r="K28" i="16"/>
  <c r="AC27" i="16"/>
  <c r="R27" i="16"/>
  <c r="D27" i="16"/>
  <c r="V26" i="16"/>
  <c r="L26" i="16"/>
  <c r="D26" i="16"/>
  <c r="AB20" i="16"/>
  <c r="T20" i="16"/>
  <c r="L20" i="16"/>
  <c r="D20" i="16"/>
  <c r="AB19" i="16"/>
  <c r="T19" i="16"/>
  <c r="L19" i="16"/>
  <c r="D19" i="16"/>
  <c r="AB18" i="16"/>
  <c r="T18" i="16"/>
  <c r="L18" i="16"/>
  <c r="D18" i="16"/>
  <c r="AB17" i="16"/>
  <c r="T17" i="16"/>
  <c r="L17" i="16"/>
  <c r="D17" i="16"/>
  <c r="AB16" i="16"/>
  <c r="T16" i="16"/>
  <c r="L16" i="16"/>
  <c r="D16" i="16"/>
  <c r="AB15" i="16"/>
  <c r="T15" i="16"/>
  <c r="L15" i="16"/>
  <c r="D15" i="16"/>
  <c r="AB14" i="16"/>
  <c r="T14" i="16"/>
  <c r="L14" i="16"/>
  <c r="D14" i="16"/>
  <c r="AB13" i="16"/>
  <c r="T13" i="16"/>
  <c r="L13" i="16"/>
  <c r="D13" i="16"/>
  <c r="AB12" i="16"/>
  <c r="T12" i="16"/>
  <c r="L12" i="16"/>
  <c r="D12" i="16"/>
  <c r="AB11" i="16"/>
  <c r="T11" i="16"/>
  <c r="L11" i="16"/>
  <c r="D11" i="16"/>
  <c r="AB10" i="16"/>
  <c r="T10" i="16"/>
  <c r="L10" i="16"/>
  <c r="D10" i="16"/>
  <c r="AB9" i="16"/>
  <c r="T9" i="16"/>
  <c r="K83" i="16"/>
  <c r="M82" i="16"/>
  <c r="B82" i="16"/>
  <c r="D81" i="16"/>
  <c r="F80" i="16"/>
  <c r="K79" i="16"/>
  <c r="M78" i="16"/>
  <c r="B78" i="16"/>
  <c r="D77" i="16"/>
  <c r="F76" i="16"/>
  <c r="K75" i="16"/>
  <c r="M74" i="16"/>
  <c r="B74" i="16"/>
  <c r="D73" i="16"/>
  <c r="F72" i="16"/>
  <c r="K71" i="16"/>
  <c r="M70" i="16"/>
  <c r="B70" i="16"/>
  <c r="D69" i="16"/>
  <c r="F68" i="16"/>
  <c r="K62" i="16"/>
  <c r="M61" i="16"/>
  <c r="B61" i="16"/>
  <c r="D60" i="16"/>
  <c r="F59" i="16"/>
  <c r="K58" i="16"/>
  <c r="M57" i="16"/>
  <c r="B57" i="16"/>
  <c r="D56" i="16"/>
  <c r="F55" i="16"/>
  <c r="K54" i="16"/>
  <c r="M53" i="16"/>
  <c r="B53" i="16"/>
  <c r="D52" i="16"/>
  <c r="F51" i="16"/>
  <c r="K50" i="16"/>
  <c r="M49" i="16"/>
  <c r="B49" i="16"/>
  <c r="D48" i="16"/>
  <c r="F47" i="16"/>
  <c r="AA41" i="16"/>
  <c r="M41" i="16"/>
  <c r="B41" i="16"/>
  <c r="T40" i="16"/>
  <c r="F40" i="16"/>
  <c r="AA39" i="16"/>
  <c r="M39" i="16"/>
  <c r="B39" i="16"/>
  <c r="T38" i="16"/>
  <c r="F38" i="16"/>
  <c r="AA37" i="16"/>
  <c r="M37" i="16"/>
  <c r="B37" i="16"/>
  <c r="T36" i="16"/>
  <c r="F36" i="16"/>
  <c r="AA35" i="16"/>
  <c r="M35" i="16"/>
  <c r="B35" i="16"/>
  <c r="T34" i="16"/>
  <c r="F34" i="16"/>
  <c r="AA33" i="16"/>
  <c r="M33" i="16"/>
  <c r="B33" i="16"/>
  <c r="T32" i="16"/>
  <c r="F32" i="16"/>
  <c r="AA31" i="16"/>
  <c r="M31" i="16"/>
  <c r="B31" i="16"/>
  <c r="T30" i="16"/>
  <c r="F30" i="16"/>
  <c r="AA29" i="16"/>
  <c r="M29" i="16"/>
  <c r="B29" i="16"/>
  <c r="T28" i="16"/>
  <c r="F28" i="16"/>
  <c r="AA27" i="16"/>
  <c r="M27" i="16"/>
  <c r="B27" i="16"/>
  <c r="T26" i="16"/>
  <c r="J26" i="16"/>
  <c r="B26" i="16"/>
  <c r="Z20" i="16"/>
  <c r="R20" i="16"/>
  <c r="J20" i="16"/>
  <c r="B20" i="16"/>
  <c r="Z19" i="16"/>
  <c r="R19" i="16"/>
  <c r="J19" i="16"/>
  <c r="B19" i="16"/>
  <c r="Z18" i="16"/>
  <c r="R18" i="16"/>
  <c r="J18" i="16"/>
  <c r="B18" i="16"/>
  <c r="Z17" i="16"/>
  <c r="R17" i="16"/>
  <c r="J17" i="16"/>
  <c r="B17" i="16"/>
  <c r="Z16" i="16"/>
  <c r="R16" i="16"/>
  <c r="J16" i="16"/>
  <c r="B16" i="16"/>
  <c r="Z15" i="16"/>
  <c r="R15" i="16"/>
  <c r="J15" i="16"/>
  <c r="B15" i="16"/>
  <c r="Z14" i="16"/>
  <c r="R14" i="16"/>
  <c r="J14" i="16"/>
  <c r="B14" i="16"/>
  <c r="Z13" i="16"/>
  <c r="R13" i="16"/>
  <c r="J13" i="16"/>
  <c r="B13" i="16"/>
  <c r="Z12" i="16"/>
  <c r="R12" i="16"/>
  <c r="J12" i="16"/>
  <c r="B12" i="16"/>
  <c r="Z11" i="16"/>
  <c r="R11" i="16"/>
  <c r="J11" i="16"/>
  <c r="B11" i="16"/>
  <c r="Z10" i="16"/>
  <c r="R10" i="16"/>
  <c r="J10" i="16"/>
  <c r="B10" i="16"/>
  <c r="Z9" i="16"/>
  <c r="R9" i="16"/>
  <c r="L83" i="16"/>
  <c r="J82" i="16"/>
  <c r="C81" i="16"/>
  <c r="B80" i="16"/>
  <c r="K78" i="16"/>
  <c r="E77" i="16"/>
  <c r="C76" i="16"/>
  <c r="L74" i="16"/>
  <c r="K73" i="16"/>
  <c r="D72" i="16"/>
  <c r="N70" i="16"/>
  <c r="L69" i="16"/>
  <c r="E68" i="16"/>
  <c r="D62" i="16"/>
  <c r="M60" i="16"/>
  <c r="J59" i="16"/>
  <c r="E58" i="16"/>
  <c r="N56" i="16"/>
  <c r="M55" i="16"/>
  <c r="F54" i="16"/>
  <c r="C53" i="16"/>
  <c r="N51" i="16"/>
  <c r="J50" i="16"/>
  <c r="F49" i="16"/>
  <c r="B48" i="16"/>
  <c r="AB41" i="16"/>
  <c r="J41" i="16"/>
  <c r="S40" i="16"/>
  <c r="B40" i="16"/>
  <c r="K39" i="16"/>
  <c r="U38" i="16"/>
  <c r="C38" i="16"/>
  <c r="L37" i="16"/>
  <c r="AA36" i="16"/>
  <c r="D36" i="16"/>
  <c r="N35" i="16"/>
  <c r="AB34" i="16"/>
  <c r="E34" i="16"/>
  <c r="T33" i="16"/>
  <c r="AC32" i="16"/>
  <c r="J32" i="16"/>
  <c r="U31" i="16"/>
  <c r="AD30" i="16"/>
  <c r="M30" i="16"/>
  <c r="V29" i="16"/>
  <c r="C29" i="16"/>
  <c r="N28" i="16"/>
  <c r="Z27" i="16"/>
  <c r="F27" i="16"/>
  <c r="R26" i="16"/>
  <c r="C26" i="16"/>
  <c r="W20" i="16"/>
  <c r="I20" i="16"/>
  <c r="AD19" i="16"/>
  <c r="P19" i="16"/>
  <c r="C19" i="16"/>
  <c r="W18" i="16"/>
  <c r="I18" i="16"/>
  <c r="AD17" i="16"/>
  <c r="P17" i="16"/>
  <c r="C17" i="16"/>
  <c r="W16" i="16"/>
  <c r="I16" i="16"/>
  <c r="AD15" i="16"/>
  <c r="P15" i="16"/>
  <c r="C15" i="16"/>
  <c r="W14" i="16"/>
  <c r="I14" i="16"/>
  <c r="AD13" i="16"/>
  <c r="P13" i="16"/>
  <c r="C13" i="16"/>
  <c r="W12" i="16"/>
  <c r="I12" i="16"/>
  <c r="AD11" i="16"/>
  <c r="P11" i="16"/>
  <c r="E11" i="16"/>
  <c r="Y10" i="16"/>
  <c r="O10" i="16"/>
  <c r="E10" i="16"/>
  <c r="Y9" i="16"/>
  <c r="O9" i="16"/>
  <c r="G9" i="16"/>
  <c r="AE8" i="16"/>
  <c r="W8" i="16"/>
  <c r="O8" i="16"/>
  <c r="G8" i="16"/>
  <c r="AE7" i="16"/>
  <c r="W7" i="16"/>
  <c r="O7" i="16"/>
  <c r="J83" i="16"/>
  <c r="F82" i="16"/>
  <c r="B81" i="16"/>
  <c r="L79" i="16"/>
  <c r="J78" i="16"/>
  <c r="C77" i="16"/>
  <c r="B76" i="16"/>
  <c r="K74" i="16"/>
  <c r="E73" i="16"/>
  <c r="C72" i="16"/>
  <c r="L70" i="16"/>
  <c r="K69" i="16"/>
  <c r="D68" i="16"/>
  <c r="N61" i="16"/>
  <c r="L60" i="16"/>
  <c r="E59" i="16"/>
  <c r="D58" i="16"/>
  <c r="M56" i="16"/>
  <c r="J55" i="16"/>
  <c r="E54" i="16"/>
  <c r="N52" i="16"/>
  <c r="M51" i="16"/>
  <c r="F50" i="16"/>
  <c r="C49" i="16"/>
  <c r="N47" i="16"/>
  <c r="Z41" i="16"/>
  <c r="F41" i="16"/>
  <c r="R40" i="16"/>
  <c r="AB39" i="16"/>
  <c r="J39" i="16"/>
  <c r="S38" i="16"/>
  <c r="B38" i="16"/>
  <c r="K37" i="16"/>
  <c r="U36" i="16"/>
  <c r="C36" i="16"/>
  <c r="L35" i="16"/>
  <c r="AA34" i="16"/>
  <c r="D34" i="16"/>
  <c r="N33" i="16"/>
  <c r="AB32" i="16"/>
  <c r="E32" i="16"/>
  <c r="T31" i="16"/>
  <c r="AC30" i="16"/>
  <c r="J30" i="16"/>
  <c r="U29" i="16"/>
  <c r="AD28" i="16"/>
  <c r="M28" i="16"/>
  <c r="V27" i="16"/>
  <c r="C27" i="16"/>
  <c r="Q26" i="16"/>
  <c r="AG20" i="16"/>
  <c r="V20" i="16"/>
  <c r="H20" i="16"/>
  <c r="AA19" i="16"/>
  <c r="O19" i="16"/>
  <c r="AG18" i="16"/>
  <c r="V18" i="16"/>
  <c r="H18" i="16"/>
  <c r="AA17" i="16"/>
  <c r="O17" i="16"/>
  <c r="AG16" i="16"/>
  <c r="V16" i="16"/>
  <c r="H16" i="16"/>
  <c r="AA15" i="16"/>
  <c r="O15" i="16"/>
  <c r="AG14" i="16"/>
  <c r="V14" i="16"/>
  <c r="H14" i="16"/>
  <c r="AA13" i="16"/>
  <c r="O13" i="16"/>
  <c r="AG12" i="16"/>
  <c r="V12" i="16"/>
  <c r="H12" i="16"/>
  <c r="AA11" i="16"/>
  <c r="O11" i="16"/>
  <c r="C11" i="16"/>
  <c r="X10" i="16"/>
  <c r="N10" i="16"/>
  <c r="C10" i="16"/>
  <c r="X9" i="16"/>
  <c r="N9" i="16"/>
  <c r="F9" i="16"/>
  <c r="AD8" i="16"/>
  <c r="V8" i="16"/>
  <c r="N8" i="16"/>
  <c r="F8" i="16"/>
  <c r="AD7" i="16"/>
  <c r="V7" i="16"/>
  <c r="N7" i="16"/>
  <c r="F7" i="16"/>
  <c r="AD6" i="16"/>
  <c r="V6" i="16"/>
  <c r="N6" i="16"/>
  <c r="F6" i="16"/>
  <c r="AD5" i="16"/>
  <c r="V5" i="16"/>
  <c r="N5" i="16"/>
  <c r="F5" i="16"/>
  <c r="F83" i="16"/>
  <c r="C82" i="16"/>
  <c r="N80" i="16"/>
  <c r="J79" i="16"/>
  <c r="F78" i="16"/>
  <c r="B77" i="16"/>
  <c r="L75" i="16"/>
  <c r="J74" i="16"/>
  <c r="C73" i="16"/>
  <c r="B72" i="16"/>
  <c r="K70" i="16"/>
  <c r="E69" i="16"/>
  <c r="C68" i="16"/>
  <c r="L61" i="16"/>
  <c r="K60" i="16"/>
  <c r="D59" i="16"/>
  <c r="N57" i="16"/>
  <c r="L56" i="16"/>
  <c r="E55" i="16"/>
  <c r="D54" i="16"/>
  <c r="M52" i="16"/>
  <c r="J51" i="16"/>
  <c r="E50" i="16"/>
  <c r="N48" i="16"/>
  <c r="M47" i="16"/>
  <c r="V41" i="16"/>
  <c r="C41" i="16"/>
  <c r="N40" i="16"/>
  <c r="Z39" i="16"/>
  <c r="E83" i="16"/>
  <c r="N81" i="16"/>
  <c r="M80" i="16"/>
  <c r="F79" i="16"/>
  <c r="C78" i="16"/>
  <c r="N76" i="16"/>
  <c r="J75" i="16"/>
  <c r="F74" i="16"/>
  <c r="B73" i="16"/>
  <c r="L71" i="16"/>
  <c r="J70" i="16"/>
  <c r="C69" i="16"/>
  <c r="B68" i="16"/>
  <c r="K61" i="16"/>
  <c r="E60" i="16"/>
  <c r="C59" i="16"/>
  <c r="L57" i="16"/>
  <c r="K56" i="16"/>
  <c r="D55" i="16"/>
  <c r="N53" i="16"/>
  <c r="L52" i="16"/>
  <c r="E51" i="16"/>
  <c r="D50" i="16"/>
  <c r="M48" i="16"/>
  <c r="J47" i="16"/>
  <c r="U41" i="16"/>
  <c r="AD40" i="16"/>
  <c r="M40" i="16"/>
  <c r="V39" i="16"/>
  <c r="C39" i="16"/>
  <c r="N38" i="16"/>
  <c r="Z37" i="16"/>
  <c r="F37" i="16"/>
  <c r="R36" i="16"/>
  <c r="AB35" i="16"/>
  <c r="J35" i="16"/>
  <c r="S34" i="16"/>
  <c r="B34" i="16"/>
  <c r="K33" i="16"/>
  <c r="U32" i="16"/>
  <c r="C32" i="16"/>
  <c r="L31" i="16"/>
  <c r="AA30" i="16"/>
  <c r="D30" i="16"/>
  <c r="N29" i="16"/>
  <c r="AB28" i="16"/>
  <c r="E28" i="16"/>
  <c r="T27" i="16"/>
  <c r="AC26" i="16"/>
  <c r="K26" i="16"/>
  <c r="AE20" i="16"/>
  <c r="Q20" i="16"/>
  <c r="F20" i="16"/>
  <c r="X19" i="16"/>
  <c r="K19" i="16"/>
  <c r="AE18" i="16"/>
  <c r="Q18" i="16"/>
  <c r="F18" i="16"/>
  <c r="X17" i="16"/>
  <c r="K17" i="16"/>
  <c r="AE16" i="16"/>
  <c r="Q16" i="16"/>
  <c r="F16" i="16"/>
  <c r="X15" i="16"/>
  <c r="K15" i="16"/>
  <c r="AE14" i="16"/>
  <c r="Q14" i="16"/>
  <c r="F14" i="16"/>
  <c r="X13" i="16"/>
  <c r="K13" i="16"/>
  <c r="AE12" i="16"/>
  <c r="Q12" i="16"/>
  <c r="F12" i="16"/>
  <c r="X11" i="16"/>
  <c r="K11" i="16"/>
  <c r="AF10" i="16"/>
  <c r="V10" i="16"/>
  <c r="K10" i="16"/>
  <c r="AF9" i="16"/>
  <c r="V9" i="16"/>
  <c r="L9" i="16"/>
  <c r="D9" i="16"/>
  <c r="AB8" i="16"/>
  <c r="T8" i="16"/>
  <c r="L8" i="16"/>
  <c r="D8" i="16"/>
  <c r="AB7" i="16"/>
  <c r="T7" i="16"/>
  <c r="L7" i="16"/>
  <c r="D7" i="16"/>
  <c r="AB6" i="16"/>
  <c r="T6" i="16"/>
  <c r="L6" i="16"/>
  <c r="D6" i="16"/>
  <c r="AB5" i="16"/>
  <c r="T5" i="16"/>
  <c r="L5" i="16"/>
  <c r="D5" i="16"/>
  <c r="D83" i="16"/>
  <c r="M81" i="16"/>
  <c r="J80" i="16"/>
  <c r="E79" i="16"/>
  <c r="N77" i="16"/>
  <c r="M76" i="16"/>
  <c r="F75" i="16"/>
  <c r="C74" i="16"/>
  <c r="N72" i="16"/>
  <c r="J71" i="16"/>
  <c r="F70" i="16"/>
  <c r="B69" i="16"/>
  <c r="L62" i="16"/>
  <c r="J61" i="16"/>
  <c r="C60" i="16"/>
  <c r="B59" i="16"/>
  <c r="K57" i="16"/>
  <c r="E56" i="16"/>
  <c r="C55" i="16"/>
  <c r="L53" i="16"/>
  <c r="K52" i="16"/>
  <c r="D51" i="16"/>
  <c r="N49" i="16"/>
  <c r="L48" i="16"/>
  <c r="E47" i="16"/>
  <c r="T41" i="16"/>
  <c r="AC40" i="16"/>
  <c r="J40" i="16"/>
  <c r="U39" i="16"/>
  <c r="AD38" i="16"/>
  <c r="M38" i="16"/>
  <c r="V37" i="16"/>
  <c r="C37" i="16"/>
  <c r="N82" i="16"/>
  <c r="C80" i="16"/>
  <c r="E76" i="16"/>
  <c r="M72" i="16"/>
  <c r="M69" i="16"/>
  <c r="C61" i="16"/>
  <c r="J57" i="16"/>
  <c r="J54" i="16"/>
  <c r="B51" i="16"/>
  <c r="D47" i="16"/>
  <c r="U40" i="16"/>
  <c r="AC38" i="16"/>
  <c r="U37" i="16"/>
  <c r="N36" i="16"/>
  <c r="T35" i="16"/>
  <c r="N34" i="16"/>
  <c r="L33" i="16"/>
  <c r="N32" i="16"/>
  <c r="K31" i="16"/>
  <c r="N30" i="16"/>
  <c r="K29" i="16"/>
  <c r="J28" i="16"/>
  <c r="K27" i="16"/>
  <c r="I26" i="16"/>
  <c r="X20" i="16"/>
  <c r="AG19" i="16"/>
  <c r="N19" i="16"/>
  <c r="Y18" i="16"/>
  <c r="C18" i="16"/>
  <c r="Q17" i="16"/>
  <c r="AA16" i="16"/>
  <c r="G16" i="16"/>
  <c r="S15" i="16"/>
  <c r="AD14" i="16"/>
  <c r="K14" i="16"/>
  <c r="V13" i="16"/>
  <c r="AF12" i="16"/>
  <c r="N12" i="16"/>
  <c r="W11" i="16"/>
  <c r="F11" i="16"/>
  <c r="S10" i="16"/>
  <c r="AG9" i="16"/>
  <c r="Q9" i="16"/>
  <c r="C9" i="16"/>
  <c r="X8" i="16"/>
  <c r="J8" i="16"/>
  <c r="AC7" i="16"/>
  <c r="Q7" i="16"/>
  <c r="E7" i="16"/>
  <c r="Z6" i="16"/>
  <c r="P6" i="16"/>
  <c r="E6" i="16"/>
  <c r="Z5" i="16"/>
  <c r="P5" i="16"/>
  <c r="E5" i="16"/>
  <c r="M7" i="16"/>
  <c r="X6" i="16"/>
  <c r="B6" i="16"/>
  <c r="B5" i="16"/>
  <c r="E81" i="16"/>
  <c r="K41" i="16"/>
  <c r="AC34" i="16"/>
  <c r="U30" i="16"/>
  <c r="U26" i="16"/>
  <c r="AF18" i="16"/>
  <c r="O16" i="16"/>
  <c r="AE13" i="16"/>
  <c r="I11" i="16"/>
  <c r="I9" i="16"/>
  <c r="U7" i="16"/>
  <c r="S6" i="16"/>
  <c r="S5" i="16"/>
  <c r="K77" i="16"/>
  <c r="J58" i="16"/>
  <c r="E48" i="16"/>
  <c r="V35" i="16"/>
  <c r="V31" i="16"/>
  <c r="S28" i="16"/>
  <c r="AA20" i="16"/>
  <c r="K18" i="16"/>
  <c r="F15" i="16"/>
  <c r="G13" i="16"/>
  <c r="W10" i="16"/>
  <c r="H9" i="16"/>
  <c r="S7" i="16"/>
  <c r="R6" i="16"/>
  <c r="R5" i="16"/>
  <c r="D80" i="16"/>
  <c r="N69" i="16"/>
  <c r="F58" i="16"/>
  <c r="C48" i="16"/>
  <c r="AB37" i="16"/>
  <c r="R34" i="16"/>
  <c r="N31" i="16"/>
  <c r="R28" i="16"/>
  <c r="Y20" i="16"/>
  <c r="AA18" i="16"/>
  <c r="AD16" i="16"/>
  <c r="N14" i="16"/>
  <c r="Y11" i="16"/>
  <c r="S9" i="16"/>
  <c r="K8" i="16"/>
  <c r="G7" i="16"/>
  <c r="G6" i="16"/>
  <c r="G5" i="16"/>
  <c r="L82" i="16"/>
  <c r="D79" i="16"/>
  <c r="D76" i="16"/>
  <c r="J72" i="16"/>
  <c r="N68" i="16"/>
  <c r="N60" i="16"/>
  <c r="F57" i="16"/>
  <c r="K53" i="16"/>
  <c r="L50" i="16"/>
  <c r="C47" i="16"/>
  <c r="E40" i="16"/>
  <c r="AB38" i="16"/>
  <c r="T37" i="16"/>
  <c r="M36" i="16"/>
  <c r="K35" i="16"/>
  <c r="M34" i="16"/>
  <c r="J33" i="16"/>
  <c r="M32" i="16"/>
  <c r="J31" i="16"/>
  <c r="E30" i="16"/>
  <c r="J29" i="16"/>
  <c r="D28" i="16"/>
  <c r="J27" i="16"/>
  <c r="H26" i="16"/>
  <c r="S20" i="16"/>
  <c r="AF19" i="16"/>
  <c r="I19" i="16"/>
  <c r="X18" i="16"/>
  <c r="AG17" i="16"/>
  <c r="N17" i="16"/>
  <c r="Y16" i="16"/>
  <c r="C16" i="16"/>
  <c r="Q15" i="16"/>
  <c r="AA14" i="16"/>
  <c r="G14" i="16"/>
  <c r="S13" i="16"/>
  <c r="AD12" i="16"/>
  <c r="K12" i="16"/>
  <c r="V11" i="16"/>
  <c r="AG10" i="16"/>
  <c r="Q10" i="16"/>
  <c r="AE9" i="16"/>
  <c r="P9" i="16"/>
  <c r="B9" i="16"/>
  <c r="U8" i="16"/>
  <c r="I8" i="16"/>
  <c r="AA7" i="16"/>
  <c r="P7" i="16"/>
  <c r="C7" i="16"/>
  <c r="Y6" i="16"/>
  <c r="O6" i="16"/>
  <c r="C6" i="16"/>
  <c r="Y5" i="16"/>
  <c r="O5" i="16"/>
  <c r="C5" i="16"/>
  <c r="K82" i="16"/>
  <c r="N78" i="16"/>
  <c r="E75" i="16"/>
  <c r="E72" i="16"/>
  <c r="M68" i="16"/>
  <c r="B60" i="16"/>
  <c r="C57" i="16"/>
  <c r="J53" i="16"/>
  <c r="L49" i="16"/>
  <c r="B47" i="16"/>
  <c r="D40" i="16"/>
  <c r="AA38" i="16"/>
  <c r="N37" i="16"/>
  <c r="J36" i="16"/>
  <c r="F35" i="16"/>
  <c r="J34" i="16"/>
  <c r="F33" i="16"/>
  <c r="D32" i="16"/>
  <c r="F31" i="16"/>
  <c r="C30" i="16"/>
  <c r="F29" i="16"/>
  <c r="C28" i="16"/>
  <c r="AD26" i="16"/>
  <c r="G26" i="16"/>
  <c r="P20" i="16"/>
  <c r="AE19" i="16"/>
  <c r="H19" i="16"/>
  <c r="S18" i="16"/>
  <c r="AF17" i="16"/>
  <c r="I17" i="16"/>
  <c r="X16" i="16"/>
  <c r="AG15" i="16"/>
  <c r="N15" i="16"/>
  <c r="Y14" i="16"/>
  <c r="C14" i="16"/>
  <c r="Q13" i="16"/>
  <c r="AA12" i="16"/>
  <c r="G12" i="16"/>
  <c r="S11" i="16"/>
  <c r="AE10" i="16"/>
  <c r="P10" i="16"/>
  <c r="AD9" i="16"/>
  <c r="M9" i="16"/>
  <c r="AG8" i="16"/>
  <c r="S8" i="16"/>
  <c r="H8" i="16"/>
  <c r="Z7" i="16"/>
  <c r="B7" i="16"/>
  <c r="M6" i="16"/>
  <c r="X5" i="16"/>
  <c r="M5" i="16"/>
  <c r="J5" i="16"/>
  <c r="L77" i="16"/>
  <c r="D71" i="16"/>
  <c r="F62" i="16"/>
  <c r="L58" i="16"/>
  <c r="C52" i="16"/>
  <c r="N39" i="16"/>
  <c r="Z35" i="16"/>
  <c r="AA32" i="16"/>
  <c r="Z29" i="16"/>
  <c r="U27" i="16"/>
  <c r="K20" i="16"/>
  <c r="N18" i="16"/>
  <c r="F17" i="16"/>
  <c r="G15" i="16"/>
  <c r="S12" i="16"/>
  <c r="AA10" i="16"/>
  <c r="W9" i="16"/>
  <c r="P8" i="16"/>
  <c r="I7" i="16"/>
  <c r="I6" i="16"/>
  <c r="E80" i="16"/>
  <c r="C70" i="16"/>
  <c r="E62" i="16"/>
  <c r="B52" i="16"/>
  <c r="L39" i="16"/>
  <c r="AB36" i="16"/>
  <c r="U34" i="16"/>
  <c r="S32" i="16"/>
  <c r="T29" i="16"/>
  <c r="S26" i="16"/>
  <c r="S19" i="16"/>
  <c r="V17" i="16"/>
  <c r="N16" i="16"/>
  <c r="O14" i="16"/>
  <c r="H11" i="16"/>
  <c r="U9" i="16"/>
  <c r="M8" i="16"/>
  <c r="H7" i="16"/>
  <c r="AC5" i="16"/>
  <c r="J76" i="16"/>
  <c r="F61" i="16"/>
  <c r="L54" i="16"/>
  <c r="AA40" i="16"/>
  <c r="S36" i="16"/>
  <c r="U33" i="16"/>
  <c r="L29" i="16"/>
  <c r="N26" i="16"/>
  <c r="Q19" i="16"/>
  <c r="S17" i="16"/>
  <c r="V15" i="16"/>
  <c r="W13" i="16"/>
  <c r="O12" i="16"/>
  <c r="G11" i="16"/>
  <c r="F10" i="16"/>
  <c r="Y8" i="16"/>
  <c r="R7" i="16"/>
  <c r="Q6" i="16"/>
  <c r="Q5" i="16"/>
  <c r="L81" i="16"/>
  <c r="L78" i="16"/>
  <c r="D75" i="16"/>
  <c r="F71" i="16"/>
  <c r="J68" i="16"/>
  <c r="N59" i="16"/>
  <c r="C56" i="16"/>
  <c r="F53" i="16"/>
  <c r="K49" i="16"/>
  <c r="N41" i="16"/>
  <c r="C40" i="16"/>
  <c r="R38" i="16"/>
  <c r="J37" i="16"/>
  <c r="E36" i="16"/>
  <c r="C35" i="16"/>
  <c r="C34" i="16"/>
  <c r="C33" i="16"/>
  <c r="B32" i="16"/>
  <c r="C31" i="16"/>
  <c r="B30" i="16"/>
  <c r="AC28" i="16"/>
  <c r="B28" i="16"/>
  <c r="AB26" i="16"/>
  <c r="F26" i="16"/>
  <c r="O20" i="16"/>
  <c r="Y19" i="16"/>
  <c r="G19" i="16"/>
  <c r="P18" i="16"/>
  <c r="AE17" i="16"/>
  <c r="H17" i="16"/>
  <c r="S16" i="16"/>
  <c r="AF15" i="16"/>
  <c r="I15" i="16"/>
  <c r="X14" i="16"/>
  <c r="AG13" i="16"/>
  <c r="N13" i="16"/>
  <c r="Y12" i="16"/>
  <c r="C12" i="16"/>
  <c r="Q11" i="16"/>
  <c r="AD10" i="16"/>
  <c r="M10" i="16"/>
  <c r="AC9" i="16"/>
  <c r="K9" i="16"/>
  <c r="AF8" i="16"/>
  <c r="R8" i="16"/>
  <c r="E8" i="16"/>
  <c r="Y7" i="16"/>
  <c r="K7" i="16"/>
  <c r="AG6" i="16"/>
  <c r="W6" i="16"/>
  <c r="K6" i="16"/>
  <c r="AG5" i="16"/>
  <c r="W5" i="16"/>
  <c r="K5" i="16"/>
  <c r="K81" i="16"/>
  <c r="M77" i="16"/>
  <c r="N74" i="16"/>
  <c r="E71" i="16"/>
  <c r="J62" i="16"/>
  <c r="M59" i="16"/>
  <c r="B56" i="16"/>
  <c r="E52" i="16"/>
  <c r="J49" i="16"/>
  <c r="L41" i="16"/>
  <c r="T39" i="16"/>
  <c r="J38" i="16"/>
  <c r="AD36" i="16"/>
  <c r="B36" i="16"/>
  <c r="AD34" i="16"/>
  <c r="AB33" i="16"/>
  <c r="AD32" i="16"/>
  <c r="AB31" i="16"/>
  <c r="AB30" i="16"/>
  <c r="AB29" i="16"/>
  <c r="AA28" i="16"/>
  <c r="AB27" i="16"/>
  <c r="AA26" i="16"/>
  <c r="AF20" i="16"/>
  <c r="N20" i="16"/>
  <c r="W19" i="16"/>
  <c r="F19" i="16"/>
  <c r="O18" i="16"/>
  <c r="Y17" i="16"/>
  <c r="G17" i="16"/>
  <c r="P16" i="16"/>
  <c r="AE15" i="16"/>
  <c r="H15" i="16"/>
  <c r="S14" i="16"/>
  <c r="AF13" i="16"/>
  <c r="I13" i="16"/>
  <c r="X12" i="16"/>
  <c r="AG11" i="16"/>
  <c r="N11" i="16"/>
  <c r="AC10" i="16"/>
  <c r="I10" i="16"/>
  <c r="AA9" i="16"/>
  <c r="J9" i="16"/>
  <c r="AC8" i="16"/>
  <c r="Q8" i="16"/>
  <c r="C8" i="16"/>
  <c r="X7" i="16"/>
  <c r="J7" i="16"/>
  <c r="AF6" i="16"/>
  <c r="U6" i="16"/>
  <c r="J6" i="16"/>
  <c r="AF5" i="16"/>
  <c r="U5" i="16"/>
  <c r="N73" i="16"/>
  <c r="N55" i="16"/>
  <c r="K48" i="16"/>
  <c r="E38" i="16"/>
  <c r="AC36" i="16"/>
  <c r="Z33" i="16"/>
  <c r="Z31" i="16"/>
  <c r="U28" i="16"/>
  <c r="AD20" i="16"/>
  <c r="V19" i="16"/>
  <c r="W17" i="16"/>
  <c r="Y15" i="16"/>
  <c r="P14" i="16"/>
  <c r="H13" i="16"/>
  <c r="AF11" i="16"/>
  <c r="H10" i="16"/>
  <c r="AA8" i="16"/>
  <c r="B8" i="16"/>
  <c r="AE6" i="16"/>
  <c r="AE5" i="16"/>
  <c r="I5" i="16"/>
  <c r="M73" i="16"/>
  <c r="B55" i="16"/>
  <c r="AB40" i="16"/>
  <c r="D38" i="16"/>
  <c r="V33" i="16"/>
  <c r="S30" i="16"/>
  <c r="N27" i="16"/>
  <c r="G20" i="16"/>
  <c r="AD18" i="16"/>
  <c r="AF16" i="16"/>
  <c r="W15" i="16"/>
  <c r="Y13" i="16"/>
  <c r="P12" i="16"/>
  <c r="AE11" i="16"/>
  <c r="G10" i="16"/>
  <c r="Z8" i="16"/>
  <c r="AG7" i="16"/>
  <c r="AC6" i="16"/>
  <c r="H6" i="16"/>
  <c r="H5" i="16"/>
  <c r="L73" i="16"/>
  <c r="C51" i="16"/>
  <c r="F39" i="16"/>
  <c r="U35" i="16"/>
  <c r="R32" i="16"/>
  <c r="R30" i="16"/>
  <c r="L27" i="16"/>
  <c r="C20" i="16"/>
  <c r="G18" i="16"/>
  <c r="K16" i="16"/>
  <c r="AF14" i="16"/>
  <c r="F13" i="16"/>
  <c r="U10" i="16"/>
  <c r="E9" i="16"/>
  <c r="AF7" i="16"/>
  <c r="AA6" i="16"/>
  <c r="AA5" i="16"/>
  <c r="U343" i="1" l="1"/>
  <c r="T343" i="1"/>
  <c r="G343" i="1"/>
  <c r="F343" i="1"/>
  <c r="U342" i="1"/>
  <c r="T342" i="1"/>
  <c r="G342" i="1"/>
  <c r="F342" i="1"/>
  <c r="U341" i="1"/>
  <c r="T341" i="1"/>
  <c r="G341" i="1"/>
  <c r="F341" i="1"/>
  <c r="U340" i="1"/>
  <c r="T340" i="1"/>
  <c r="G340" i="1"/>
  <c r="F340" i="1"/>
  <c r="U339" i="1"/>
  <c r="T339" i="1"/>
  <c r="G339" i="1"/>
  <c r="F339" i="1"/>
  <c r="U338" i="1"/>
  <c r="T338" i="1"/>
  <c r="G338" i="1"/>
  <c r="F338" i="1"/>
  <c r="U337" i="1"/>
  <c r="T337" i="1"/>
  <c r="G337" i="1"/>
  <c r="F337" i="1"/>
  <c r="U336" i="1"/>
  <c r="T336" i="1"/>
  <c r="G336" i="1"/>
  <c r="F336" i="1"/>
  <c r="U335" i="1"/>
  <c r="T335" i="1"/>
  <c r="G335" i="1"/>
  <c r="F335" i="1"/>
  <c r="U334" i="1"/>
  <c r="T334" i="1"/>
  <c r="G334" i="1"/>
  <c r="F334" i="1"/>
  <c r="U333" i="1"/>
  <c r="T333" i="1"/>
  <c r="G333" i="1"/>
  <c r="F333" i="1"/>
  <c r="U332" i="1"/>
  <c r="T332" i="1"/>
  <c r="G332" i="1"/>
  <c r="F332" i="1"/>
  <c r="U331" i="1"/>
  <c r="T331" i="1"/>
  <c r="G331" i="1"/>
  <c r="F331" i="1"/>
  <c r="U330" i="1"/>
  <c r="T330" i="1"/>
  <c r="G330" i="1"/>
  <c r="F330" i="1"/>
  <c r="U329" i="1"/>
  <c r="T329" i="1"/>
  <c r="G329" i="1"/>
  <c r="F329" i="1"/>
  <c r="U328" i="1"/>
  <c r="T328" i="1"/>
  <c r="G328" i="1"/>
  <c r="F328" i="1"/>
  <c r="U327" i="1"/>
  <c r="T327" i="1"/>
  <c r="G327" i="1"/>
  <c r="F327" i="1"/>
  <c r="U326" i="1"/>
  <c r="T326" i="1"/>
  <c r="G326" i="1"/>
  <c r="F326" i="1"/>
  <c r="U325" i="1"/>
  <c r="T325" i="1"/>
  <c r="G325" i="1"/>
  <c r="F325" i="1"/>
  <c r="U324" i="1"/>
  <c r="T324" i="1"/>
  <c r="G324" i="1"/>
  <c r="F324" i="1"/>
  <c r="U323" i="1"/>
  <c r="T323" i="1"/>
  <c r="G323" i="1"/>
  <c r="F323" i="1"/>
  <c r="U322" i="1"/>
  <c r="T322" i="1"/>
  <c r="G322" i="1"/>
  <c r="F322" i="1"/>
  <c r="U321" i="1"/>
  <c r="T321" i="1"/>
  <c r="G321" i="1"/>
  <c r="F321" i="1"/>
  <c r="U320" i="1"/>
  <c r="T320" i="1"/>
  <c r="G320" i="1"/>
  <c r="F320" i="1"/>
  <c r="U319" i="1"/>
  <c r="T319" i="1"/>
  <c r="G319" i="1"/>
  <c r="F319" i="1"/>
  <c r="U318" i="1"/>
  <c r="T318" i="1"/>
  <c r="G318" i="1"/>
  <c r="F318" i="1"/>
  <c r="U317" i="1"/>
  <c r="T317" i="1"/>
  <c r="G317" i="1"/>
  <c r="F317" i="1"/>
  <c r="U316" i="1"/>
  <c r="T316" i="1"/>
  <c r="G316" i="1"/>
  <c r="F316" i="1"/>
  <c r="U315" i="1"/>
  <c r="T315" i="1"/>
  <c r="G315" i="1"/>
  <c r="F315" i="1"/>
  <c r="U314" i="1"/>
  <c r="T314" i="1"/>
  <c r="G314" i="1"/>
  <c r="F314" i="1"/>
  <c r="U313" i="1"/>
  <c r="T313" i="1"/>
  <c r="G313" i="1"/>
  <c r="F313" i="1"/>
  <c r="U312" i="1"/>
  <c r="T312" i="1"/>
  <c r="G312" i="1"/>
  <c r="F312" i="1"/>
  <c r="U311" i="1"/>
  <c r="T311" i="1"/>
  <c r="G311" i="1"/>
  <c r="F311" i="1"/>
  <c r="U310" i="1"/>
  <c r="T310" i="1"/>
  <c r="G310" i="1"/>
  <c r="F310" i="1"/>
  <c r="U309" i="1"/>
  <c r="T309" i="1"/>
  <c r="G309" i="1"/>
  <c r="F309" i="1"/>
  <c r="U308" i="1"/>
  <c r="T308" i="1"/>
  <c r="G308" i="1"/>
  <c r="F308" i="1"/>
  <c r="U307" i="1"/>
  <c r="T307" i="1"/>
  <c r="G307" i="1"/>
  <c r="F307" i="1"/>
  <c r="U306" i="1"/>
  <c r="T306" i="1"/>
  <c r="G306" i="1"/>
  <c r="F306" i="1"/>
  <c r="U305" i="1"/>
  <c r="T305" i="1"/>
  <c r="G305" i="1"/>
  <c r="F305" i="1"/>
  <c r="U304" i="1"/>
  <c r="T304" i="1"/>
  <c r="G304" i="1"/>
  <c r="F304" i="1"/>
  <c r="U303" i="1"/>
  <c r="T303" i="1"/>
  <c r="G303" i="1"/>
  <c r="F303" i="1"/>
  <c r="U302" i="1"/>
  <c r="T302" i="1"/>
  <c r="G302" i="1"/>
  <c r="F302" i="1"/>
  <c r="U301" i="1"/>
  <c r="T301" i="1"/>
  <c r="G301" i="1"/>
  <c r="F301" i="1"/>
  <c r="U300" i="1"/>
  <c r="T300" i="1"/>
  <c r="G300" i="1"/>
  <c r="F300" i="1"/>
  <c r="U299" i="1"/>
  <c r="T299" i="1"/>
  <c r="G299" i="1"/>
  <c r="F299" i="1"/>
  <c r="U298" i="1"/>
  <c r="T298" i="1"/>
  <c r="G298" i="1"/>
  <c r="F298" i="1"/>
  <c r="U297" i="1"/>
  <c r="T297" i="1"/>
  <c r="G297" i="1"/>
  <c r="F297" i="1"/>
  <c r="U296" i="1"/>
  <c r="T296" i="1"/>
  <c r="G296" i="1"/>
  <c r="F296" i="1"/>
  <c r="U295" i="1"/>
  <c r="T295" i="1"/>
  <c r="G295" i="1"/>
  <c r="F295" i="1"/>
  <c r="U294" i="1"/>
  <c r="T294" i="1"/>
  <c r="G294" i="1"/>
  <c r="F294" i="1"/>
  <c r="U293" i="1"/>
  <c r="T293" i="1"/>
  <c r="G293" i="1"/>
  <c r="F293" i="1"/>
  <c r="U292" i="1"/>
  <c r="T292" i="1"/>
  <c r="G292" i="1"/>
  <c r="F292" i="1"/>
  <c r="U291" i="1"/>
  <c r="T291" i="1"/>
  <c r="G291" i="1"/>
  <c r="F291" i="1"/>
  <c r="U290" i="1"/>
  <c r="T290" i="1"/>
  <c r="G290" i="1"/>
  <c r="F290" i="1"/>
  <c r="U289" i="1"/>
  <c r="T289" i="1"/>
  <c r="G289" i="1"/>
  <c r="F289" i="1"/>
  <c r="U288" i="1"/>
  <c r="T288" i="1"/>
  <c r="G288" i="1"/>
  <c r="F288" i="1"/>
  <c r="U287" i="1"/>
  <c r="T287" i="1"/>
  <c r="G287" i="1"/>
  <c r="F287" i="1"/>
  <c r="U286" i="1"/>
  <c r="T286" i="1"/>
  <c r="G286" i="1"/>
  <c r="F286" i="1"/>
  <c r="U285" i="1" l="1"/>
  <c r="T285" i="1"/>
  <c r="G285" i="1"/>
  <c r="F285" i="1"/>
  <c r="U284" i="1"/>
  <c r="T284" i="1"/>
  <c r="G284" i="1"/>
  <c r="F284" i="1"/>
  <c r="U283" i="1"/>
  <c r="T283" i="1"/>
  <c r="G283" i="1"/>
  <c r="F283" i="1"/>
  <c r="U282" i="1"/>
  <c r="T282" i="1"/>
  <c r="G282" i="1"/>
  <c r="F282" i="1"/>
  <c r="U281" i="1"/>
  <c r="T281" i="1"/>
  <c r="G281" i="1"/>
  <c r="F281" i="1"/>
  <c r="U280" i="1"/>
  <c r="T280" i="1"/>
  <c r="G280" i="1"/>
  <c r="F280" i="1"/>
  <c r="U279" i="1"/>
  <c r="T279" i="1"/>
  <c r="G279" i="1"/>
  <c r="F279" i="1"/>
  <c r="U278" i="1"/>
  <c r="T278" i="1"/>
  <c r="G278" i="1"/>
  <c r="F278" i="1"/>
  <c r="U277" i="1"/>
  <c r="T277" i="1"/>
  <c r="G277" i="1"/>
  <c r="F277" i="1"/>
  <c r="U276" i="1"/>
  <c r="T276" i="1"/>
  <c r="G276" i="1"/>
  <c r="F276" i="1"/>
  <c r="U275" i="1"/>
  <c r="T275" i="1"/>
  <c r="G275" i="1"/>
  <c r="F275" i="1"/>
  <c r="U274" i="1"/>
  <c r="T274" i="1"/>
  <c r="G274" i="1"/>
  <c r="F274" i="1"/>
  <c r="U273" i="1"/>
  <c r="T273" i="1"/>
  <c r="G273" i="1"/>
  <c r="F273" i="1"/>
  <c r="U272" i="1"/>
  <c r="T272" i="1"/>
  <c r="G272" i="1"/>
  <c r="F272" i="1"/>
  <c r="U271" i="1"/>
  <c r="T271" i="1"/>
  <c r="G271" i="1"/>
  <c r="F271" i="1"/>
  <c r="U270" i="1"/>
  <c r="T270" i="1"/>
  <c r="G270" i="1"/>
  <c r="F270" i="1"/>
  <c r="U269" i="1"/>
  <c r="T269" i="1"/>
  <c r="G269" i="1"/>
  <c r="F269" i="1"/>
  <c r="U268" i="1"/>
  <c r="T268" i="1"/>
  <c r="G268" i="1"/>
  <c r="F268" i="1"/>
  <c r="U267" i="1"/>
  <c r="T267" i="1"/>
  <c r="G267" i="1"/>
  <c r="F267" i="1"/>
  <c r="U266" i="1"/>
  <c r="T266" i="1"/>
  <c r="G266" i="1"/>
  <c r="F266" i="1"/>
  <c r="U265" i="1"/>
  <c r="T265" i="1"/>
  <c r="G265" i="1"/>
  <c r="F265" i="1"/>
  <c r="U264" i="1"/>
  <c r="T264" i="1"/>
  <c r="G264" i="1"/>
  <c r="F264" i="1"/>
  <c r="U263" i="1"/>
  <c r="T263" i="1"/>
  <c r="G263" i="1"/>
  <c r="F263" i="1"/>
  <c r="U262" i="1"/>
  <c r="T262" i="1"/>
  <c r="G262" i="1"/>
  <c r="F262" i="1"/>
  <c r="U261" i="1"/>
  <c r="T261" i="1"/>
  <c r="G261" i="1"/>
  <c r="F261" i="1"/>
  <c r="U260" i="1"/>
  <c r="T260" i="1"/>
  <c r="G260" i="1"/>
  <c r="F260" i="1"/>
  <c r="U259" i="1"/>
  <c r="T259" i="1"/>
  <c r="G259" i="1"/>
  <c r="F259" i="1"/>
  <c r="U258" i="1"/>
  <c r="T258" i="1"/>
  <c r="G258" i="1"/>
  <c r="F258" i="1"/>
  <c r="U257" i="1"/>
  <c r="T257" i="1"/>
  <c r="G257" i="1"/>
  <c r="F257" i="1"/>
  <c r="U256" i="1"/>
  <c r="T256" i="1"/>
  <c r="G256" i="1"/>
  <c r="F256" i="1"/>
  <c r="U255" i="1"/>
  <c r="T255" i="1"/>
  <c r="G255" i="1"/>
  <c r="F255" i="1"/>
  <c r="U254" i="1"/>
  <c r="T254" i="1"/>
  <c r="G254" i="1"/>
  <c r="F254" i="1"/>
  <c r="U253" i="1"/>
  <c r="T253" i="1"/>
  <c r="G253" i="1"/>
  <c r="F253" i="1"/>
  <c r="U252" i="1"/>
  <c r="T252" i="1"/>
  <c r="G252" i="1"/>
  <c r="F252" i="1"/>
  <c r="U251" i="1"/>
  <c r="T251" i="1"/>
  <c r="G251" i="1"/>
  <c r="F251" i="1"/>
  <c r="U250" i="1"/>
  <c r="T250" i="1"/>
  <c r="G250" i="1"/>
  <c r="F250" i="1"/>
  <c r="U249" i="1"/>
  <c r="T249" i="1"/>
  <c r="G249" i="1"/>
  <c r="F249" i="1"/>
  <c r="U248" i="1"/>
  <c r="T248" i="1"/>
  <c r="G248" i="1"/>
  <c r="F248" i="1"/>
  <c r="U247" i="1"/>
  <c r="T247" i="1"/>
  <c r="G247" i="1"/>
  <c r="F247" i="1"/>
  <c r="U246" i="1"/>
  <c r="T246" i="1"/>
  <c r="G246" i="1"/>
  <c r="F246" i="1"/>
  <c r="U245" i="1"/>
  <c r="T245" i="1"/>
  <c r="G245" i="1"/>
  <c r="F245" i="1"/>
  <c r="U244" i="1"/>
  <c r="T244" i="1"/>
  <c r="G244" i="1"/>
  <c r="F244" i="1"/>
  <c r="U243" i="1"/>
  <c r="T243" i="1"/>
  <c r="G243" i="1"/>
  <c r="F243" i="1"/>
  <c r="U242" i="1"/>
  <c r="T242" i="1"/>
  <c r="G242" i="1"/>
  <c r="F242" i="1"/>
  <c r="U241" i="1"/>
  <c r="T241" i="1"/>
  <c r="G241" i="1"/>
  <c r="F241" i="1"/>
  <c r="U240" i="1"/>
  <c r="T240" i="1"/>
  <c r="G240" i="1"/>
  <c r="F240" i="1"/>
  <c r="U239" i="1"/>
  <c r="T239" i="1"/>
  <c r="G239" i="1"/>
  <c r="F239" i="1"/>
  <c r="U238" i="1"/>
  <c r="T238" i="1"/>
  <c r="G238" i="1"/>
  <c r="F238" i="1"/>
  <c r="U237" i="1"/>
  <c r="T237" i="1"/>
  <c r="G237" i="1"/>
  <c r="F237" i="1"/>
  <c r="U236" i="1"/>
  <c r="T236" i="1"/>
  <c r="G236" i="1"/>
  <c r="F236" i="1"/>
  <c r="U235" i="1"/>
  <c r="T235" i="1"/>
  <c r="G235" i="1"/>
  <c r="F235" i="1"/>
  <c r="U234" i="1"/>
  <c r="T234" i="1"/>
  <c r="G234" i="1"/>
  <c r="F234" i="1"/>
  <c r="U233" i="1"/>
  <c r="T233" i="1"/>
  <c r="G233" i="1"/>
  <c r="F233" i="1"/>
  <c r="U232" i="1"/>
  <c r="T232" i="1"/>
  <c r="G232" i="1"/>
  <c r="F232" i="1"/>
  <c r="U231" i="1"/>
  <c r="T231" i="1"/>
  <c r="G231" i="1"/>
  <c r="F231" i="1"/>
  <c r="U230" i="1"/>
  <c r="T230" i="1"/>
  <c r="G230" i="1"/>
  <c r="F230" i="1"/>
  <c r="U229" i="1"/>
  <c r="T229" i="1"/>
  <c r="G229" i="1"/>
  <c r="F229" i="1"/>
  <c r="U228" i="1"/>
  <c r="T228" i="1"/>
  <c r="G228" i="1"/>
  <c r="F228" i="1"/>
  <c r="U227" i="1"/>
  <c r="T227" i="1"/>
  <c r="G227" i="1"/>
  <c r="F227" i="1"/>
  <c r="U226" i="1"/>
  <c r="T226" i="1"/>
  <c r="G226" i="1"/>
  <c r="F226" i="1"/>
  <c r="U225" i="1"/>
  <c r="T225" i="1"/>
  <c r="G225" i="1"/>
  <c r="F225" i="1"/>
  <c r="U224" i="1"/>
  <c r="T224" i="1"/>
  <c r="G224" i="1"/>
  <c r="F224" i="1"/>
  <c r="U223" i="1"/>
  <c r="T223" i="1"/>
  <c r="G223" i="1"/>
  <c r="F223" i="1"/>
  <c r="U222" i="1"/>
  <c r="T222" i="1"/>
  <c r="G222" i="1"/>
  <c r="F222" i="1"/>
  <c r="U221" i="1"/>
  <c r="T221" i="1"/>
  <c r="G221" i="1"/>
  <c r="F221" i="1"/>
  <c r="U220" i="1"/>
  <c r="T220" i="1"/>
  <c r="G220" i="1"/>
  <c r="F220" i="1"/>
  <c r="U219" i="1"/>
  <c r="T219" i="1"/>
  <c r="G219" i="1"/>
  <c r="F219" i="1"/>
  <c r="U218" i="1"/>
  <c r="T218" i="1"/>
  <c r="G218" i="1"/>
  <c r="F218" i="1"/>
  <c r="U217" i="1"/>
  <c r="T217" i="1"/>
  <c r="G217" i="1"/>
  <c r="F217" i="1"/>
  <c r="U216" i="1"/>
  <c r="T216" i="1"/>
  <c r="G216" i="1"/>
  <c r="F216" i="1"/>
  <c r="U215" i="1"/>
  <c r="T215" i="1"/>
  <c r="G215" i="1"/>
  <c r="F215" i="1"/>
  <c r="U214" i="1"/>
  <c r="T214" i="1"/>
  <c r="G214" i="1"/>
  <c r="F214" i="1"/>
  <c r="U213" i="1"/>
  <c r="T213" i="1"/>
  <c r="G213" i="1"/>
  <c r="F213" i="1"/>
  <c r="U212" i="1"/>
  <c r="T212" i="1"/>
  <c r="G212" i="1"/>
  <c r="F212" i="1"/>
  <c r="U211" i="1"/>
  <c r="T211" i="1"/>
  <c r="G211" i="1"/>
  <c r="F211" i="1"/>
  <c r="U210" i="1"/>
  <c r="T210" i="1"/>
  <c r="G210" i="1"/>
  <c r="F210" i="1"/>
  <c r="U209" i="1"/>
  <c r="T209" i="1"/>
  <c r="G209" i="1"/>
  <c r="F209" i="1"/>
  <c r="U208" i="1"/>
  <c r="T208" i="1"/>
  <c r="G208" i="1"/>
  <c r="F208" i="1"/>
  <c r="U207" i="1"/>
  <c r="T207" i="1"/>
  <c r="G207" i="1"/>
  <c r="F207" i="1"/>
  <c r="U206" i="1"/>
  <c r="T206" i="1"/>
  <c r="G206" i="1"/>
  <c r="F206" i="1"/>
  <c r="U205" i="1"/>
  <c r="T205" i="1"/>
  <c r="G205" i="1"/>
  <c r="F205" i="1"/>
  <c r="U204" i="1"/>
  <c r="T204" i="1"/>
  <c r="G204" i="1"/>
  <c r="F204" i="1"/>
  <c r="U203" i="1"/>
  <c r="T203" i="1"/>
  <c r="G203" i="1"/>
  <c r="F203" i="1"/>
  <c r="U202" i="1"/>
  <c r="T202" i="1"/>
  <c r="G202" i="1"/>
  <c r="F202" i="1"/>
  <c r="U201" i="1"/>
  <c r="T201" i="1"/>
  <c r="G201" i="1"/>
  <c r="F201" i="1"/>
  <c r="U200" i="1"/>
  <c r="T200" i="1"/>
  <c r="G200" i="1"/>
  <c r="F200" i="1"/>
  <c r="U199" i="1"/>
  <c r="T199" i="1"/>
  <c r="G199" i="1"/>
  <c r="F199" i="1"/>
  <c r="U198" i="1"/>
  <c r="T198" i="1"/>
  <c r="G198" i="1"/>
  <c r="F198" i="1"/>
  <c r="U197" i="1"/>
  <c r="T197" i="1"/>
  <c r="G197" i="1"/>
  <c r="F197" i="1"/>
  <c r="U196" i="1"/>
  <c r="T196" i="1"/>
  <c r="G196" i="1"/>
  <c r="F196" i="1"/>
  <c r="U195" i="1"/>
  <c r="T195" i="1"/>
  <c r="G195" i="1"/>
  <c r="F195" i="1"/>
  <c r="U194" i="1"/>
  <c r="T194" i="1"/>
  <c r="G194" i="1"/>
  <c r="F194" i="1"/>
  <c r="U193" i="1"/>
  <c r="T193" i="1"/>
  <c r="G193" i="1"/>
  <c r="F193" i="1"/>
  <c r="U192" i="1"/>
  <c r="T192" i="1"/>
  <c r="G192" i="1"/>
  <c r="F192" i="1"/>
  <c r="U191" i="1"/>
  <c r="T191" i="1"/>
  <c r="G191" i="1"/>
  <c r="F191" i="1"/>
  <c r="U190" i="1"/>
  <c r="T190" i="1"/>
  <c r="G190" i="1"/>
  <c r="F190" i="1"/>
  <c r="U189" i="1"/>
  <c r="T189" i="1"/>
  <c r="G189" i="1"/>
  <c r="F189" i="1"/>
  <c r="U188" i="1"/>
  <c r="T188" i="1"/>
  <c r="G188" i="1"/>
  <c r="F188" i="1"/>
  <c r="U187" i="1"/>
  <c r="T187" i="1"/>
  <c r="G187" i="1"/>
  <c r="F187" i="1"/>
  <c r="U186" i="1"/>
  <c r="T186" i="1"/>
  <c r="G186" i="1"/>
  <c r="F186" i="1"/>
  <c r="U185" i="1"/>
  <c r="T185" i="1"/>
  <c r="G185" i="1"/>
  <c r="F185" i="1"/>
  <c r="U184" i="1"/>
  <c r="T184" i="1"/>
  <c r="G184" i="1"/>
  <c r="F184" i="1"/>
  <c r="U183" i="1"/>
  <c r="T183" i="1"/>
  <c r="G183" i="1"/>
  <c r="F183" i="1"/>
  <c r="U182" i="1"/>
  <c r="T182" i="1"/>
  <c r="G182" i="1"/>
  <c r="F182" i="1"/>
  <c r="U181" i="1"/>
  <c r="T181" i="1"/>
  <c r="G181" i="1"/>
  <c r="F181" i="1"/>
  <c r="U180" i="1"/>
  <c r="T180" i="1"/>
  <c r="G180" i="1"/>
  <c r="F180" i="1"/>
  <c r="U179" i="1"/>
  <c r="T179" i="1"/>
  <c r="G179" i="1"/>
  <c r="F179" i="1"/>
  <c r="U178" i="1"/>
  <c r="T178" i="1"/>
  <c r="G178" i="1"/>
  <c r="F178" i="1"/>
  <c r="U177" i="1"/>
  <c r="T177" i="1"/>
  <c r="G177" i="1"/>
  <c r="F177" i="1"/>
  <c r="U176" i="1"/>
  <c r="T176" i="1"/>
  <c r="G176" i="1"/>
  <c r="F176" i="1"/>
  <c r="U175" i="1"/>
  <c r="T175" i="1"/>
  <c r="G175" i="1"/>
  <c r="F175" i="1"/>
  <c r="U174" i="1"/>
  <c r="T174" i="1"/>
  <c r="G174" i="1"/>
  <c r="F174" i="1"/>
  <c r="U173" i="1"/>
  <c r="T173" i="1"/>
  <c r="G173" i="1"/>
  <c r="F173" i="1"/>
  <c r="U172" i="1"/>
  <c r="T172" i="1"/>
  <c r="G172" i="1"/>
  <c r="F172" i="1"/>
  <c r="U171" i="1"/>
  <c r="T171" i="1"/>
  <c r="G171" i="1"/>
  <c r="F171" i="1"/>
  <c r="U170" i="1"/>
  <c r="T170" i="1"/>
  <c r="G170" i="1"/>
  <c r="F170" i="1"/>
  <c r="U169" i="1"/>
  <c r="T169" i="1"/>
  <c r="G169" i="1"/>
  <c r="F169" i="1"/>
  <c r="U168" i="1"/>
  <c r="T168" i="1"/>
  <c r="G168" i="1"/>
  <c r="F168" i="1"/>
  <c r="U167" i="1"/>
  <c r="T167" i="1"/>
  <c r="G167" i="1"/>
  <c r="F167" i="1"/>
  <c r="U166" i="1"/>
  <c r="T166" i="1"/>
  <c r="G166" i="1"/>
  <c r="F166" i="1"/>
  <c r="U165" i="1"/>
  <c r="T165" i="1"/>
  <c r="G165" i="1"/>
  <c r="F165" i="1"/>
  <c r="U164" i="1"/>
  <c r="T164" i="1"/>
  <c r="G164" i="1"/>
  <c r="F164" i="1"/>
  <c r="U163" i="1"/>
  <c r="T163" i="1"/>
  <c r="G163" i="1"/>
  <c r="F163" i="1"/>
  <c r="U162" i="1"/>
  <c r="T162" i="1"/>
  <c r="G162" i="1"/>
  <c r="F162" i="1"/>
  <c r="U161" i="1"/>
  <c r="T161" i="1"/>
  <c r="G161" i="1"/>
  <c r="F161" i="1"/>
  <c r="U160" i="1"/>
  <c r="T160" i="1"/>
  <c r="G160" i="1"/>
  <c r="F160" i="1"/>
  <c r="U159" i="1"/>
  <c r="T159" i="1"/>
  <c r="G159" i="1"/>
  <c r="F159" i="1"/>
  <c r="U158" i="1"/>
  <c r="T158" i="1"/>
  <c r="G158" i="1"/>
  <c r="F158" i="1"/>
  <c r="U157" i="1"/>
  <c r="T157" i="1"/>
  <c r="G157" i="1"/>
  <c r="F157" i="1"/>
  <c r="U156" i="1"/>
  <c r="T156" i="1"/>
  <c r="G156" i="1"/>
  <c r="F156" i="1"/>
  <c r="U155" i="1"/>
  <c r="T155" i="1"/>
  <c r="G155" i="1"/>
  <c r="F155" i="1"/>
  <c r="U154" i="1"/>
  <c r="T154" i="1"/>
  <c r="G154" i="1"/>
  <c r="F154" i="1"/>
  <c r="U153" i="1"/>
  <c r="T153" i="1"/>
  <c r="G153" i="1"/>
  <c r="F153" i="1"/>
  <c r="U152" i="1"/>
  <c r="T152" i="1"/>
  <c r="G152" i="1"/>
  <c r="F152" i="1"/>
  <c r="U151" i="1"/>
  <c r="T151" i="1"/>
  <c r="G151" i="1"/>
  <c r="F151" i="1"/>
  <c r="U150" i="1"/>
  <c r="T150" i="1"/>
  <c r="G150" i="1"/>
  <c r="F150" i="1"/>
  <c r="U149" i="1"/>
  <c r="T149" i="1"/>
  <c r="G149" i="1"/>
  <c r="F149" i="1"/>
  <c r="U148" i="1"/>
  <c r="T148" i="1"/>
  <c r="G148" i="1"/>
  <c r="F148" i="1"/>
  <c r="U147" i="1"/>
  <c r="T147" i="1"/>
  <c r="G147" i="1"/>
  <c r="F147" i="1"/>
  <c r="U146" i="1"/>
  <c r="T146" i="1"/>
  <c r="G146" i="1"/>
  <c r="F146" i="1"/>
  <c r="U145" i="1"/>
  <c r="T145" i="1"/>
  <c r="G145" i="1"/>
  <c r="F145" i="1"/>
  <c r="U144" i="1"/>
  <c r="T144" i="1"/>
  <c r="G144" i="1"/>
  <c r="F144" i="1"/>
  <c r="U143" i="1"/>
  <c r="T143" i="1"/>
  <c r="G143" i="1"/>
  <c r="F143" i="1"/>
  <c r="U142" i="1"/>
  <c r="T142" i="1"/>
  <c r="G142" i="1"/>
  <c r="F142" i="1"/>
  <c r="T141" i="1" l="1"/>
  <c r="G141" i="1"/>
  <c r="F141" i="1"/>
  <c r="T140" i="1"/>
  <c r="G140" i="1"/>
  <c r="F140" i="1"/>
  <c r="T139" i="1"/>
  <c r="G139" i="1"/>
  <c r="F139" i="1"/>
  <c r="T138" i="1"/>
  <c r="G138" i="1"/>
  <c r="F138" i="1"/>
  <c r="T137" i="1"/>
  <c r="G137" i="1"/>
  <c r="F137" i="1"/>
  <c r="T136" i="1"/>
  <c r="G136" i="1"/>
  <c r="F136" i="1"/>
  <c r="T135" i="1"/>
  <c r="G135" i="1"/>
  <c r="F135" i="1"/>
  <c r="T134" i="1"/>
  <c r="G134" i="1"/>
  <c r="F134" i="1"/>
  <c r="T133" i="1"/>
  <c r="G133" i="1"/>
  <c r="F133" i="1"/>
  <c r="T132" i="1"/>
  <c r="G132" i="1"/>
  <c r="F132" i="1"/>
  <c r="T131" i="1"/>
  <c r="G131" i="1"/>
  <c r="F131" i="1"/>
  <c r="T130" i="1"/>
  <c r="G130" i="1"/>
  <c r="F130" i="1"/>
  <c r="T129" i="1"/>
  <c r="G129" i="1"/>
  <c r="F129" i="1"/>
  <c r="T128" i="1"/>
  <c r="G128" i="1"/>
  <c r="F128" i="1"/>
  <c r="T127" i="1"/>
  <c r="G127" i="1"/>
  <c r="F127" i="1"/>
  <c r="T126" i="1"/>
  <c r="G126" i="1"/>
  <c r="F126" i="1"/>
  <c r="T125" i="1"/>
  <c r="G125" i="1"/>
  <c r="F125" i="1"/>
  <c r="T124" i="1"/>
  <c r="G124" i="1"/>
  <c r="F124" i="1"/>
  <c r="T123" i="1"/>
  <c r="G123" i="1"/>
  <c r="F123" i="1"/>
  <c r="T122" i="1"/>
  <c r="G122" i="1"/>
  <c r="F122" i="1"/>
  <c r="T121" i="1"/>
  <c r="G121" i="1"/>
  <c r="F121" i="1"/>
  <c r="T120" i="1"/>
  <c r="G120" i="1"/>
  <c r="F120" i="1"/>
  <c r="T119" i="1"/>
  <c r="G119" i="1"/>
  <c r="F119" i="1"/>
  <c r="T118" i="1"/>
  <c r="G118" i="1"/>
  <c r="F118" i="1"/>
  <c r="T117" i="1"/>
  <c r="G117" i="1"/>
  <c r="F117" i="1"/>
  <c r="T116" i="1"/>
  <c r="G116" i="1"/>
  <c r="F116" i="1"/>
  <c r="T115" i="1"/>
  <c r="G115" i="1"/>
  <c r="F115" i="1"/>
  <c r="T114" i="1"/>
  <c r="G114" i="1"/>
  <c r="F114" i="1"/>
  <c r="T113" i="1"/>
  <c r="G113" i="1"/>
  <c r="F113" i="1"/>
  <c r="T112" i="1"/>
  <c r="G112" i="1"/>
  <c r="F112" i="1"/>
  <c r="U111" i="1" l="1"/>
  <c r="T111" i="1"/>
  <c r="G111" i="1"/>
  <c r="F111" i="1"/>
  <c r="U110" i="1"/>
  <c r="T110" i="1"/>
  <c r="G110" i="1"/>
  <c r="F110" i="1"/>
  <c r="U109" i="1"/>
  <c r="T109" i="1"/>
  <c r="G109" i="1"/>
  <c r="F109" i="1"/>
  <c r="U108" i="1"/>
  <c r="T108" i="1"/>
  <c r="G108" i="1"/>
  <c r="F108" i="1"/>
  <c r="U107" i="1"/>
  <c r="T107" i="1"/>
  <c r="G107" i="1"/>
  <c r="F107" i="1"/>
  <c r="U106" i="1"/>
  <c r="T106" i="1"/>
  <c r="G106" i="1"/>
  <c r="F106" i="1"/>
  <c r="U105" i="1"/>
  <c r="T105" i="1"/>
  <c r="G105" i="1"/>
  <c r="F105" i="1"/>
  <c r="U104" i="1"/>
  <c r="T104" i="1"/>
  <c r="G104" i="1"/>
  <c r="F104" i="1"/>
  <c r="U103" i="1"/>
  <c r="T103" i="1"/>
  <c r="G103" i="1"/>
  <c r="F103" i="1"/>
  <c r="U102" i="1"/>
  <c r="T102" i="1"/>
  <c r="G102" i="1"/>
  <c r="F102" i="1"/>
  <c r="U101" i="1"/>
  <c r="T101" i="1"/>
  <c r="G101" i="1"/>
  <c r="F101" i="1"/>
  <c r="U100" i="1"/>
  <c r="T100" i="1"/>
  <c r="G100" i="1"/>
  <c r="F100" i="1"/>
  <c r="U99" i="1"/>
  <c r="T99" i="1"/>
  <c r="G99" i="1"/>
  <c r="F99" i="1"/>
  <c r="U98" i="1"/>
  <c r="T98" i="1"/>
  <c r="G98" i="1"/>
  <c r="F98" i="1"/>
  <c r="U97" i="1"/>
  <c r="T97" i="1"/>
  <c r="G97" i="1"/>
  <c r="F97" i="1"/>
  <c r="U96" i="1"/>
  <c r="T96" i="1"/>
  <c r="G96" i="1"/>
  <c r="F96" i="1"/>
  <c r="U95" i="1"/>
  <c r="T95" i="1"/>
  <c r="G95" i="1"/>
  <c r="F95" i="1"/>
  <c r="U94" i="1"/>
  <c r="T94" i="1"/>
  <c r="G94" i="1"/>
  <c r="F94" i="1"/>
  <c r="U93" i="1"/>
  <c r="T93" i="1"/>
  <c r="G93" i="1"/>
  <c r="F93" i="1"/>
  <c r="U92" i="1"/>
  <c r="T92" i="1"/>
  <c r="G92" i="1"/>
  <c r="F92" i="1"/>
  <c r="U91" i="1"/>
  <c r="T91" i="1"/>
  <c r="G91" i="1"/>
  <c r="F91" i="1"/>
  <c r="U90" i="1"/>
  <c r="T90" i="1"/>
  <c r="G90" i="1"/>
  <c r="F90" i="1"/>
  <c r="U89" i="1"/>
  <c r="T89" i="1"/>
  <c r="G89" i="1"/>
  <c r="F89" i="1"/>
  <c r="U88" i="1"/>
  <c r="T88" i="1"/>
  <c r="G88" i="1"/>
  <c r="F88" i="1"/>
  <c r="U87" i="1"/>
  <c r="T87" i="1"/>
  <c r="G87" i="1"/>
  <c r="F87" i="1"/>
  <c r="U86" i="1"/>
  <c r="T86" i="1"/>
  <c r="G86" i="1"/>
  <c r="F86" i="1"/>
  <c r="U85" i="1"/>
  <c r="T85" i="1"/>
  <c r="G85" i="1"/>
  <c r="F85" i="1"/>
  <c r="U84" i="1"/>
  <c r="T84" i="1"/>
  <c r="G84" i="1"/>
  <c r="F84" i="1"/>
  <c r="U82" i="1"/>
  <c r="T82" i="1"/>
  <c r="G82" i="1"/>
  <c r="F82" i="1"/>
  <c r="U81" i="1"/>
  <c r="T81" i="1"/>
  <c r="G81" i="1"/>
  <c r="F81" i="1"/>
  <c r="U80" i="1"/>
  <c r="T80" i="1"/>
  <c r="G80" i="1"/>
  <c r="F80" i="1"/>
  <c r="U79" i="1"/>
  <c r="T79" i="1"/>
  <c r="G79" i="1"/>
  <c r="F79" i="1"/>
  <c r="U78" i="1"/>
  <c r="T78" i="1"/>
  <c r="G78" i="1"/>
  <c r="F78" i="1"/>
  <c r="U77" i="1"/>
  <c r="T77" i="1"/>
  <c r="G77" i="1"/>
  <c r="F77" i="1"/>
  <c r="U76" i="1"/>
  <c r="T76" i="1"/>
  <c r="G76" i="1"/>
  <c r="F76" i="1"/>
  <c r="U75" i="1"/>
  <c r="T75" i="1"/>
  <c r="G75" i="1"/>
  <c r="F75" i="1"/>
  <c r="U74" i="1"/>
  <c r="T74" i="1"/>
  <c r="G74" i="1"/>
  <c r="F74" i="1"/>
  <c r="U73" i="1"/>
  <c r="T73" i="1"/>
  <c r="G73" i="1"/>
  <c r="F73" i="1"/>
  <c r="U72" i="1"/>
  <c r="T72" i="1"/>
  <c r="G72" i="1"/>
  <c r="F72" i="1"/>
  <c r="U71" i="1"/>
  <c r="T71" i="1"/>
  <c r="G71" i="1"/>
  <c r="F71" i="1"/>
  <c r="U70" i="1"/>
  <c r="T70" i="1"/>
  <c r="G70" i="1"/>
  <c r="F70" i="1"/>
  <c r="U69" i="1"/>
  <c r="T69" i="1"/>
  <c r="G69" i="1"/>
  <c r="F69" i="1"/>
  <c r="U68" i="1"/>
  <c r="T68" i="1"/>
  <c r="G68" i="1"/>
  <c r="F68" i="1"/>
  <c r="U67" i="1"/>
  <c r="T67" i="1"/>
  <c r="G67" i="1"/>
  <c r="F67" i="1"/>
  <c r="U66" i="1"/>
  <c r="T66" i="1"/>
  <c r="G66" i="1"/>
  <c r="F66" i="1"/>
  <c r="U65" i="1"/>
  <c r="T65" i="1"/>
  <c r="G65" i="1"/>
  <c r="F65" i="1"/>
  <c r="U64" i="1"/>
  <c r="T64" i="1"/>
  <c r="G64" i="1"/>
  <c r="F64" i="1"/>
  <c r="U63" i="1"/>
  <c r="T63" i="1"/>
  <c r="G63" i="1"/>
  <c r="F63" i="1"/>
  <c r="U62" i="1"/>
  <c r="T62" i="1"/>
  <c r="G62" i="1"/>
  <c r="F62" i="1"/>
  <c r="U61" i="1"/>
  <c r="T61" i="1"/>
  <c r="G61" i="1"/>
  <c r="F61" i="1"/>
  <c r="U60" i="1"/>
  <c r="T60" i="1"/>
  <c r="G60" i="1"/>
  <c r="F60" i="1"/>
  <c r="U59" i="1"/>
  <c r="T59" i="1"/>
  <c r="G59" i="1"/>
  <c r="F59" i="1"/>
  <c r="U58" i="1"/>
  <c r="T58" i="1"/>
  <c r="G58" i="1"/>
  <c r="F58" i="1"/>
  <c r="U57" i="1"/>
  <c r="T57" i="1"/>
  <c r="G57" i="1"/>
  <c r="F57" i="1"/>
  <c r="U56" i="1"/>
  <c r="T56" i="1"/>
  <c r="G56" i="1"/>
  <c r="F56" i="1"/>
  <c r="U55" i="1"/>
  <c r="T55" i="1"/>
  <c r="G55" i="1"/>
  <c r="F55" i="1"/>
  <c r="U54" i="1"/>
  <c r="T54" i="1"/>
  <c r="G54" i="1"/>
  <c r="F54" i="1"/>
  <c r="U53" i="1"/>
  <c r="T53" i="1"/>
  <c r="G53" i="1"/>
  <c r="F53" i="1"/>
  <c r="U52" i="1"/>
  <c r="T52" i="1"/>
  <c r="G52" i="1"/>
  <c r="F52" i="1"/>
  <c r="U51" i="1"/>
  <c r="T51" i="1"/>
  <c r="G51" i="1"/>
  <c r="F51" i="1"/>
  <c r="U50" i="1"/>
  <c r="T50" i="1"/>
  <c r="G50" i="1"/>
  <c r="F50" i="1"/>
  <c r="U49" i="1"/>
  <c r="T49" i="1"/>
  <c r="G49" i="1"/>
  <c r="F49" i="1"/>
  <c r="U48" i="1"/>
  <c r="T48" i="1"/>
  <c r="G48" i="1"/>
  <c r="F48" i="1"/>
  <c r="U47" i="1"/>
  <c r="T47" i="1"/>
  <c r="G47" i="1"/>
  <c r="F47" i="1"/>
  <c r="T1" i="1"/>
  <c r="U1" i="1"/>
  <c r="F7" i="1"/>
  <c r="G7" i="1"/>
  <c r="T7" i="1"/>
  <c r="U7" i="1"/>
  <c r="F8" i="1"/>
  <c r="G8" i="1"/>
  <c r="T8" i="1"/>
  <c r="U8" i="1"/>
  <c r="F9" i="1"/>
  <c r="G9" i="1"/>
  <c r="T9" i="1"/>
  <c r="U9" i="1"/>
  <c r="F10" i="1"/>
  <c r="G10" i="1"/>
  <c r="T10" i="1"/>
  <c r="U10" i="1"/>
  <c r="F11" i="1"/>
  <c r="G11" i="1"/>
  <c r="T11" i="1"/>
  <c r="U11" i="1"/>
  <c r="F12" i="1"/>
  <c r="G12" i="1"/>
  <c r="T12" i="1"/>
  <c r="U12" i="1"/>
  <c r="F13" i="1"/>
  <c r="G13" i="1"/>
  <c r="T13" i="1"/>
  <c r="U13" i="1"/>
  <c r="F14" i="1"/>
  <c r="G14" i="1"/>
  <c r="T14" i="1"/>
  <c r="U14" i="1"/>
  <c r="F15" i="1"/>
  <c r="G15" i="1"/>
  <c r="T15" i="1"/>
  <c r="U15" i="1"/>
  <c r="F16" i="1"/>
  <c r="G16" i="1"/>
  <c r="T16" i="1"/>
  <c r="U16" i="1"/>
  <c r="F17" i="1"/>
  <c r="G17" i="1"/>
  <c r="T17" i="1"/>
  <c r="U17" i="1"/>
  <c r="F18" i="1"/>
  <c r="G18" i="1"/>
  <c r="T18" i="1"/>
  <c r="U18" i="1"/>
  <c r="F19" i="1"/>
  <c r="G19" i="1"/>
  <c r="T19" i="1"/>
  <c r="U19" i="1"/>
  <c r="F20" i="1"/>
  <c r="G20" i="1"/>
  <c r="T20" i="1"/>
  <c r="U20" i="1"/>
  <c r="F21" i="1"/>
  <c r="G21" i="1"/>
  <c r="T21" i="1"/>
  <c r="U21" i="1"/>
  <c r="F22" i="1"/>
  <c r="G22" i="1"/>
  <c r="T22" i="1"/>
  <c r="U22" i="1"/>
  <c r="F23" i="1"/>
  <c r="G23" i="1"/>
  <c r="T23" i="1"/>
  <c r="U23" i="1"/>
  <c r="F24" i="1"/>
  <c r="G24" i="1"/>
  <c r="T24" i="1"/>
  <c r="U24" i="1"/>
  <c r="F25" i="1"/>
  <c r="G25" i="1"/>
  <c r="T25" i="1"/>
  <c r="U25" i="1"/>
  <c r="F26" i="1"/>
  <c r="G26" i="1"/>
  <c r="T26" i="1"/>
  <c r="U26" i="1"/>
  <c r="F27" i="1"/>
  <c r="G27" i="1"/>
  <c r="T27" i="1"/>
  <c r="U27" i="1"/>
  <c r="F28" i="1"/>
  <c r="G28" i="1"/>
  <c r="T28" i="1"/>
  <c r="U28" i="1"/>
  <c r="F29" i="1"/>
  <c r="G29" i="1"/>
  <c r="T29" i="1"/>
  <c r="U29" i="1"/>
  <c r="F30" i="1"/>
  <c r="G30" i="1"/>
  <c r="T30" i="1"/>
  <c r="U30" i="1"/>
  <c r="F31" i="1"/>
  <c r="G31" i="1"/>
  <c r="T31" i="1"/>
  <c r="U31" i="1"/>
  <c r="F32" i="1"/>
  <c r="G32" i="1"/>
  <c r="T32" i="1"/>
  <c r="U32" i="1"/>
  <c r="F33" i="1"/>
  <c r="G33" i="1"/>
  <c r="T33" i="1"/>
  <c r="U33" i="1"/>
  <c r="F34" i="1"/>
  <c r="G34" i="1"/>
  <c r="T34" i="1"/>
  <c r="U34" i="1"/>
  <c r="F35" i="1"/>
  <c r="G35" i="1"/>
  <c r="T35" i="1"/>
  <c r="U35" i="1"/>
  <c r="F36" i="1"/>
  <c r="G36" i="1"/>
  <c r="T36" i="1"/>
  <c r="U36" i="1"/>
  <c r="F37" i="1"/>
  <c r="G37" i="1"/>
  <c r="T37" i="1"/>
  <c r="U37" i="1"/>
  <c r="F38" i="1"/>
  <c r="G38" i="1"/>
  <c r="T38" i="1"/>
  <c r="U38" i="1"/>
  <c r="F39" i="1"/>
  <c r="G39" i="1"/>
  <c r="T39" i="1"/>
  <c r="U39" i="1"/>
  <c r="F40" i="1"/>
  <c r="G40" i="1"/>
  <c r="T40" i="1"/>
  <c r="U40" i="1"/>
  <c r="F41" i="1"/>
  <c r="G41" i="1"/>
  <c r="T41" i="1"/>
  <c r="U41" i="1"/>
  <c r="F42" i="1"/>
  <c r="G42" i="1"/>
  <c r="T42" i="1"/>
  <c r="U42" i="1"/>
  <c r="F43" i="1"/>
  <c r="G43" i="1"/>
  <c r="T43" i="1"/>
  <c r="U43" i="1"/>
  <c r="F44" i="1"/>
  <c r="G44" i="1"/>
  <c r="T44" i="1"/>
  <c r="U44" i="1"/>
  <c r="F45" i="1"/>
  <c r="G45" i="1"/>
  <c r="T45" i="1"/>
  <c r="U45" i="1"/>
  <c r="F46" i="1"/>
  <c r="G46" i="1"/>
  <c r="T46" i="1"/>
  <c r="U46" i="1"/>
  <c r="G1" i="1"/>
  <c r="F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D91782EB-1714-4237-92C0-A75075F127C8}">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8" authorId="0" shapeId="0" xr:uid="{9F2E64F2-F0A3-463D-AA6F-99BD8C64E057}">
      <text>
        <r>
          <rPr>
            <b/>
            <sz val="9"/>
            <color indexed="81"/>
            <rFont val="Tahoma"/>
            <family val="2"/>
          </rPr>
          <t>jmarks:</t>
        </r>
        <r>
          <rPr>
            <sz val="9"/>
            <color indexed="81"/>
            <rFont val="Tahoma"/>
            <family val="2"/>
          </rPr>
          <t xml:space="preserve">
Note will need to be revised as there are more "15s" now.</t>
        </r>
      </text>
    </comment>
    <comment ref="I28" authorId="0" shapeId="0" xr:uid="{0573C912-C99C-4E85-A7D3-2C09124D3902}">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A2369B22-C1D0-4723-A019-7E4FE2813C5E}">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shapeId="0" xr:uid="{D8D296EC-A05F-4ECF-8B24-D314505D0BBB}">
      <text>
        <r>
          <rPr>
            <b/>
            <sz val="9"/>
            <color indexed="81"/>
            <rFont val="Tahoma"/>
            <family val="2"/>
          </rPr>
          <t>jmarks:</t>
        </r>
        <r>
          <rPr>
            <sz val="9"/>
            <color indexed="81"/>
            <rFont val="Tahoma"/>
            <family val="2"/>
          </rPr>
          <t xml:space="preserve">
Note will need to be revised as there are more "15s" now.</t>
        </r>
      </text>
    </comment>
    <comment ref="I28" authorId="0" shapeId="0" xr:uid="{FE635E3B-9552-4D3B-A9F8-EA5B79FF43B3}">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mloverde</author>
    <author>Excel Validator</author>
  </authors>
  <commentList>
    <comment ref="F2" authorId="0" shapeId="0" xr:uid="{00000000-0006-0000-0000-000001000000}">
      <text>
        <r>
          <rPr>
            <b/>
            <sz val="11"/>
            <color rgb="FF000000"/>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B618" authorId="1" shapeId="0" xr:uid="{3648EC9B-B797-4D3F-8D6C-A59259BFA146}">
      <text>
        <r>
          <rPr>
            <sz val="8"/>
            <color rgb="FF000000"/>
            <rFont val="Tahoma"/>
            <family val="2"/>
          </rPr>
          <t>Moderate Warning  AA003: Institution name is invalid.</t>
        </r>
      </text>
    </comment>
    <comment ref="B619" authorId="1" shapeId="0" xr:uid="{FE0B92EF-0117-4824-811C-501BEF4BDD0C}">
      <text>
        <r>
          <rPr>
            <sz val="8"/>
            <color rgb="FF000000"/>
            <rFont val="Tahoma"/>
            <family val="2"/>
          </rPr>
          <t>Moderate Warning  AA003: Institution name is invalid.</t>
        </r>
      </text>
    </comment>
    <comment ref="B621" authorId="1" shapeId="0" xr:uid="{6A3C0FEC-E3B1-4ECD-A380-B08FF9BA8DB1}">
      <text>
        <r>
          <rPr>
            <sz val="8"/>
            <color rgb="FF000000"/>
            <rFont val="Tahoma"/>
            <family val="2"/>
          </rPr>
          <t>Moderate Warning  AA003: Institution name is invalid.</t>
        </r>
      </text>
    </comment>
    <comment ref="B622" authorId="1" shapeId="0" xr:uid="{77090543-D363-4421-A153-952E03493044}">
      <text>
        <r>
          <rPr>
            <sz val="8"/>
            <color rgb="FF000000"/>
            <rFont val="Tahoma"/>
            <family val="2"/>
          </rPr>
          <t>Moderate Warning  AA003: Institution name is invalid.</t>
        </r>
      </text>
    </comment>
    <comment ref="B630" authorId="1" shapeId="0" xr:uid="{D3176D24-C698-4C3C-8248-D7C4149A9F32}">
      <text>
        <r>
          <rPr>
            <sz val="8"/>
            <color rgb="FF000000"/>
            <rFont val="Tahoma"/>
            <family val="2"/>
          </rPr>
          <t>Moderate Warning  AA003: Institution name is invalid.</t>
        </r>
      </text>
    </comment>
    <comment ref="B633" authorId="1" shapeId="0" xr:uid="{11D10D48-1314-4307-BE4D-8931DDB426C8}">
      <text>
        <r>
          <rPr>
            <sz val="8"/>
            <color rgb="FF000000"/>
            <rFont val="Tahoma"/>
            <family val="2"/>
          </rPr>
          <t>Moderate Warning  AA003: Institution name is invalid.</t>
        </r>
      </text>
    </comment>
    <comment ref="B634" authorId="1" shapeId="0" xr:uid="{CF39DDB0-AB52-4D31-8949-3EAE4EDC0142}">
      <text>
        <r>
          <rPr>
            <sz val="8"/>
            <color rgb="FF000000"/>
            <rFont val="Tahoma"/>
            <family val="2"/>
          </rPr>
          <t>Moderate Warning  AA003: Institution name is invalid.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ype10ug5" type="6" refreshedVersion="3" background="1" saveData="1">
    <textPr codePage="437" sourceFile="\\THECB-AUVFS41\UserDoc$\MeadDD\My Documents\My SAS Files\SREB\QWK03864\Page5\Type10ug5.txt">
      <textFields>
        <textField/>
      </textFields>
    </textPr>
  </connection>
  <connection id="2" xr16:uid="{00000000-0015-0000-FFFF-FFFF01000000}" name="Type11gr1" type="6" refreshedVersion="4" background="1" saveData="1">
    <textPr codePage="437" sourceFile="\\THECB-AUVFS41\UserDoc$\MeadDD\My Documents\My SAS Files\SREB\QWK04245\Page5\Type11gr1.txt">
      <textFields>
        <textField/>
      </textFields>
    </textPr>
  </connection>
  <connection id="3" xr16:uid="{00000000-0015-0000-FFFF-FFFF02000000}" name="Type11gr2" type="6" refreshedVersion="4" background="1" saveData="1">
    <textPr codePage="437" sourceFile="\\THECB-AUVFS41\UserDoc$\MeadDD\My Documents\My SAS Files\SREB\QWK04245\Page5\Type11gr2.txt">
      <textFields>
        <textField/>
      </textFields>
    </textPr>
  </connection>
  <connection id="4" xr16:uid="{00000000-0015-0000-FFFF-FFFF03000000}" name="Type11gr3" type="6" refreshedVersion="4" background="1" saveData="1">
    <textPr codePage="437" sourceFile="\\THECB-AUVFS41\UserDoc$\MeadDD\My Documents\My SAS Files\SREB\QWK04245\Page5\Type11gr3.txt">
      <textFields>
        <textField/>
      </textFields>
    </textPr>
  </connection>
  <connection id="5" xr16:uid="{00000000-0015-0000-FFFF-FFFF04000000}" name="Type11gr4" type="6" refreshedVersion="4" background="1" saveData="1">
    <textPr codePage="437" sourceFile="\\THECB-AUVFS41\UserDoc$\MeadDD\My Documents\My SAS Files\SREB\QWK04245\Page5\Type11gr4.txt">
      <textFields>
        <textField/>
      </textFields>
    </textPr>
  </connection>
  <connection id="6" xr16:uid="{00000000-0015-0000-FFFF-FFFF05000000}" name="Type11gr5" type="6" refreshedVersion="4" background="1" saveData="1">
    <textPr codePage="437" sourceFile="\\THECB-AUVFS41\UserDoc$\MeadDD\My Documents\My SAS Files\SREB\QWK04245\Page5\Type11gr5.txt">
      <textFields>
        <textField/>
      </textFields>
    </textPr>
  </connection>
  <connection id="7" xr16:uid="{00000000-0015-0000-FFFF-FFFF06000000}" name="Type11ug1" type="6" refreshedVersion="4" background="1" saveData="1">
    <textPr codePage="437" sourceFile="\\THECB-AUVFS41\UserDoc$\MeadDD\My Documents\My SAS Files\SREB\QWK04245\Page5\Type11ug1.txt">
      <textFields>
        <textField/>
      </textFields>
    </textPr>
  </connection>
  <connection id="8" xr16:uid="{00000000-0015-0000-FFFF-FFFF07000000}" name="Type11ug2" type="6" refreshedVersion="4" background="1" saveData="1">
    <textPr codePage="437" sourceFile="\\THECB-AUVFS41\UserDoc$\MeadDD\My Documents\My SAS Files\SREB\QWK04245\Page5\Type11ug2.txt">
      <textFields>
        <textField/>
      </textFields>
    </textPr>
  </connection>
  <connection id="9" xr16:uid="{00000000-0015-0000-FFFF-FFFF08000000}" name="Type11ug3" type="6" refreshedVersion="4" background="1" saveData="1">
    <textPr codePage="437" sourceFile="\\THECB-AUVFS41\UserDoc$\MeadDD\My Documents\My SAS Files\SREB\QWK04245\Page5\Type11ug3.txt">
      <textFields>
        <textField/>
      </textFields>
    </textPr>
  </connection>
  <connection id="10" xr16:uid="{00000000-0015-0000-FFFF-FFFF09000000}" name="Type11ug4" type="6" refreshedVersion="4" background="1" saveData="1">
    <textPr codePage="437" sourceFile="\\THECB-AUVFS41\UserDoc$\MeadDD\My Documents\My SAS Files\SREB\QWK04245\Page5\Type11ug4.txt">
      <textFields>
        <textField/>
      </textFields>
    </textPr>
  </connection>
  <connection id="11" xr16:uid="{00000000-0015-0000-FFFF-FFFF0A000000}" name="Type11ug5" type="6" refreshedVersion="4" background="1" saveData="1">
    <textPr codePage="437" sourceFile="\\THECB-AUVFS41\UserDoc$\MeadDD\My Documents\My SAS Files\SREB\QWK04245\Page5\Type11ug5.txt">
      <textFields>
        <textField/>
      </textFields>
    </textPr>
  </connection>
  <connection id="12" xr16:uid="{00000000-0015-0000-FFFF-FFFF0B000000}" name="Type13gr11" type="6" refreshedVersion="5" background="1" saveData="1">
    <textPr codePage="437" sourceFile="Z:\Mead\SASdocs\SREB\QWK04869\Page5\Type13gr1.txt">
      <textFields>
        <textField/>
      </textFields>
    </textPr>
  </connection>
  <connection id="13" xr16:uid="{00000000-0015-0000-FFFF-FFFF0C000000}" name="Type13gr21" type="6" refreshedVersion="5" background="1" saveData="1">
    <textPr codePage="437" sourceFile="Z:\Mead\SASdocs\SREB\QWK04869\Page5\Type13gr2.txt">
      <textFields>
        <textField/>
      </textFields>
    </textPr>
  </connection>
  <connection id="14" xr16:uid="{00000000-0015-0000-FFFF-FFFF0D000000}" name="Type13gr31" type="6" refreshedVersion="5" background="1" saveData="1">
    <textPr codePage="437" sourceFile="Z:\Mead\SASdocs\SREB\QWK04869\Page5\Type13gr3.txt">
      <textFields>
        <textField/>
      </textFields>
    </textPr>
  </connection>
  <connection id="15" xr16:uid="{00000000-0015-0000-FFFF-FFFF0E000000}" name="Type13gr41" type="6" refreshedVersion="5" background="1" saveData="1">
    <textPr codePage="437" sourceFile="Z:\Mead\SASdocs\SREB\QWK04869\Page5\Type13gr4.txt">
      <textFields>
        <textField/>
      </textFields>
    </textPr>
  </connection>
  <connection id="16" xr16:uid="{00000000-0015-0000-FFFF-FFFF0F000000}" name="Type13gr51" type="6" refreshedVersion="5" background="1" saveData="1">
    <textPr codePage="437" sourceFile="Z:\Mead\SASdocs\SREB\QWK04869\Page5\Type13gr5.txt">
      <textFields>
        <textField/>
      </textFields>
    </textPr>
  </connection>
  <connection id="17" xr16:uid="{00000000-0015-0000-FFFF-FFFF10000000}" name="Type13ug11" type="6" refreshedVersion="5" background="1" saveData="1">
    <textPr codePage="437" sourceFile="Z:\Mead\SASdocs\SREB\QWK04869\Page5\Type13ug1.txt">
      <textFields>
        <textField/>
      </textFields>
    </textPr>
  </connection>
  <connection id="18" xr16:uid="{00000000-0015-0000-FFFF-FFFF11000000}" name="Type13ug21" type="6" refreshedVersion="5" background="1" saveData="1">
    <textPr codePage="437" sourceFile="Z:\Mead\SASdocs\SREB\QWK04869\Page5\Type13ug2.txt">
      <textFields>
        <textField/>
      </textFields>
    </textPr>
  </connection>
  <connection id="19" xr16:uid="{00000000-0015-0000-FFFF-FFFF12000000}" name="Type13ug31" type="6" refreshedVersion="5" background="1" saveData="1">
    <textPr codePage="437" sourceFile="Z:\Mead\SASdocs\SREB\QWK04869\Page5\Type13ug3.txt">
      <textFields>
        <textField/>
      </textFields>
    </textPr>
  </connection>
  <connection id="20" xr16:uid="{00000000-0015-0000-FFFF-FFFF13000000}" name="Type13ug41" type="6" refreshedVersion="5" background="1" saveData="1">
    <textPr codePage="437" sourceFile="Z:\Mead\SASdocs\SREB\QWK04869\Page5\Type13ug4.txt">
      <textFields>
        <textField/>
      </textFields>
    </textPr>
  </connection>
  <connection id="21" xr16:uid="{00000000-0015-0000-FFFF-FFFF14000000}" name="Type13ug51" type="6" refreshedVersion="5" background="1" saveData="1">
    <textPr codePage="437" sourceFile="Z:\Mead\SASdocs\SREB\QWK04869\Page5\Type13ug5.txt">
      <textFields>
        <textField/>
      </textFields>
    </textPr>
  </connection>
</connections>
</file>

<file path=xl/sharedStrings.xml><?xml version="1.0" encoding="utf-8"?>
<sst xmlns="http://schemas.openxmlformats.org/spreadsheetml/2006/main" count="4001" uniqueCount="1008">
  <si>
    <r>
      <rPr>
        <b/>
        <sz val="14"/>
        <color theme="0"/>
        <rFont val="Arial"/>
        <family val="2"/>
      </rPr>
      <t>Part 5: Credit</t>
    </r>
    <r>
      <rPr>
        <b/>
        <sz val="14"/>
        <color rgb="FFFF0000"/>
        <rFont val="Arial"/>
        <family val="2"/>
      </rPr>
      <t xml:space="preserve"> </t>
    </r>
    <r>
      <rPr>
        <b/>
        <sz val="14"/>
        <color theme="0"/>
        <rFont val="Arial"/>
        <family val="2"/>
      </rPr>
      <t>Hours by Mode of Instruction</t>
    </r>
  </si>
  <si>
    <t>Undergraduate Credit Hours</t>
  </si>
  <si>
    <t>Graduate Credit Hours</t>
  </si>
  <si>
    <r>
      <rPr>
        <b/>
        <sz val="10"/>
        <color rgb="FF000000"/>
        <rFont val="Arial"/>
        <family val="2"/>
      </rPr>
      <t xml:space="preserve">Data Columns:  </t>
    </r>
    <r>
      <rPr>
        <sz val="10"/>
        <color rgb="FF000000"/>
        <rFont val="Arial"/>
        <family val="2"/>
      </rPr>
      <t xml:space="preserve">White = New Data, Peach = Old Data, Purple/Grey = Calculated Data. </t>
    </r>
    <r>
      <rPr>
        <b/>
        <sz val="10"/>
        <color rgb="FF000000"/>
        <rFont val="Arial"/>
        <family val="2"/>
      </rPr>
      <t xml:space="preserve"> Please highlight changes in YELLOW</t>
    </r>
  </si>
  <si>
    <t>Calculated</t>
  </si>
  <si>
    <t>e-Learning (more than 50% of course content is electronically delivered)</t>
  </si>
  <si>
    <t>Comments:  Please look for comments and answer questions; add comments as needed</t>
  </si>
  <si>
    <r>
      <rPr>
        <b/>
        <sz val="10"/>
        <color rgb="FF0000FF"/>
        <rFont val="Arial"/>
        <family val="2"/>
      </rPr>
      <t xml:space="preserve">Total Undergraduate SCH
</t>
    </r>
    <r>
      <rPr>
        <strike/>
        <sz val="8"/>
        <color theme="5"/>
        <rFont val="Arial"/>
        <family val="2"/>
      </rPr>
      <t>(Should equal totals in Part 4.)</t>
    </r>
    <r>
      <rPr>
        <strike/>
        <sz val="10"/>
        <color theme="5"/>
        <rFont val="Arial"/>
        <family val="2"/>
      </rPr>
      <t xml:space="preserve"> </t>
    </r>
  </si>
  <si>
    <r>
      <rPr>
        <b/>
        <sz val="10"/>
        <color rgb="FF000000"/>
        <rFont val="Arial"/>
        <family val="2"/>
      </rPr>
      <t xml:space="preserve">On-Campus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</si>
  <si>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Off-Campus
(in-state or out-of-state sites) "Traditional" Instruction 
</t>
    </r>
    <r>
      <rPr>
        <sz val="10"/>
        <color rgb="FF000000"/>
        <rFont val="Arial"/>
        <family val="2"/>
      </rPr>
      <t>(significant site attendance required--50% or less of course content is electronically delivered)</t>
    </r>
  </si>
  <si>
    <t>Web</t>
  </si>
  <si>
    <r>
      <rPr>
        <b/>
        <sz val="10"/>
        <color rgb="FF000000"/>
        <rFont val="Arial"/>
        <family val="2"/>
      </rPr>
      <t xml:space="preserve">Site-to-Site, 2-Way, Audio/Video </t>
    </r>
    <r>
      <rPr>
        <sz val="10"/>
        <color rgb="FF000000"/>
        <rFont val="Arial"/>
        <family val="2"/>
      </rPr>
      <t>(compressed video)</t>
    </r>
  </si>
  <si>
    <r>
      <rPr>
        <b/>
        <sz val="10"/>
        <color indexed="12"/>
        <rFont val="Arial"/>
        <family val="2"/>
      </rPr>
      <t xml:space="preserve">Other </t>
    </r>
    <r>
      <rPr>
        <sz val="10"/>
        <color indexed="12"/>
        <rFont val="Arial"/>
        <family val="2"/>
      </rPr>
      <t xml:space="preserve">(Satellite, Cable, Broadcast TV/Radio, Closed-Circuit, Video Tapes, CD ROM)             </t>
    </r>
  </si>
  <si>
    <r>
      <rPr>
        <b/>
        <sz val="10"/>
        <color indexed="12"/>
        <rFont val="Arial"/>
        <family val="2"/>
      </rPr>
      <t xml:space="preserve">Site-to-Site, 2-Way, Audio/Video </t>
    </r>
    <r>
      <rPr>
        <sz val="10"/>
        <color indexed="12"/>
        <rFont val="Arial"/>
        <family val="2"/>
      </rPr>
      <t>(compressed video)</t>
    </r>
  </si>
  <si>
    <r>
      <rPr>
        <b/>
        <sz val="10"/>
        <color indexed="12"/>
        <rFont val="Arial"/>
        <family val="2"/>
      </rPr>
      <t xml:space="preserve">Other
</t>
    </r>
    <r>
      <rPr>
        <sz val="10"/>
        <color indexed="12"/>
        <rFont val="Arial"/>
        <family val="2"/>
      </rPr>
      <t xml:space="preserve"> (Satellite, Cable, Broadcast TV/Radio, Closed-Circuit, Video Tapes, CD ROM)            </t>
    </r>
    <r>
      <rPr>
        <b/>
        <sz val="10"/>
        <color indexed="12"/>
        <rFont val="Arial"/>
        <family val="2"/>
      </rPr>
      <t xml:space="preserve"> </t>
    </r>
  </si>
  <si>
    <r>
      <rPr>
        <b/>
        <sz val="10"/>
        <color rgb="FF000000"/>
        <rFont val="Arial"/>
        <family val="2"/>
      </rPr>
      <t xml:space="preserve">Correspondence
</t>
    </r>
    <r>
      <rPr>
        <sz val="10"/>
        <color rgb="FF000000"/>
        <rFont val="Arial"/>
        <family val="2"/>
      </rPr>
      <t xml:space="preserve">(no significant site attendance required-less than 50% of the course content is electronically delivered)     </t>
    </r>
  </si>
  <si>
    <r>
      <rPr>
        <b/>
        <sz val="10"/>
        <color rgb="FF0000FF"/>
        <rFont val="Arial"/>
        <family val="2"/>
      </rPr>
      <t xml:space="preserve">Total Graduate SCH </t>
    </r>
    <r>
      <rPr>
        <sz val="10"/>
        <color rgb="FF0000FF"/>
        <rFont val="Arial"/>
        <family val="2"/>
      </rPr>
      <t xml:space="preserve">
(a sum of columns --</t>
    </r>
    <r>
      <rPr>
        <strike/>
        <sz val="10"/>
        <color rgb="FFC00000"/>
        <rFont val="Arial"/>
        <family val="2"/>
      </rPr>
      <t>should match totals from Part 3)</t>
    </r>
  </si>
  <si>
    <r>
      <rPr>
        <b/>
        <sz val="10"/>
        <color rgb="FF000000"/>
        <rFont val="Arial"/>
        <family val="2"/>
      </rPr>
      <t xml:space="preserve">On-Campus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</si>
  <si>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Off-Campus
(in-state or out-of-state sites)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</si>
  <si>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Site-to-Site, 2-Way, Audio/Video </t>
    </r>
    <r>
      <rPr>
        <sz val="10"/>
        <color rgb="FF000000"/>
        <rFont val="Arial"/>
        <family val="2"/>
      </rPr>
      <t>(compressed video)</t>
    </r>
  </si>
  <si>
    <r>
      <rPr>
        <b/>
        <sz val="10"/>
        <color indexed="12"/>
        <rFont val="Arial"/>
        <family val="2"/>
      </rPr>
      <t xml:space="preserve">Other </t>
    </r>
    <r>
      <rPr>
        <sz val="10"/>
        <color indexed="12"/>
        <rFont val="Arial"/>
        <family val="2"/>
      </rPr>
      <t xml:space="preserve">(Satellite, Cable, Broadcast TV/Radio, Closed-Circuit, Video Tapes, CD ROM)             </t>
    </r>
  </si>
  <si>
    <r>
      <rPr>
        <b/>
        <sz val="10"/>
        <color indexed="12"/>
        <rFont val="Arial"/>
        <family val="2"/>
      </rPr>
      <t xml:space="preserve">Site-to-Site, 2-Way, Audio/Video </t>
    </r>
    <r>
      <rPr>
        <sz val="10"/>
        <color indexed="12"/>
        <rFont val="Arial"/>
        <family val="2"/>
      </rPr>
      <t>(compressed video)</t>
    </r>
  </si>
  <si>
    <r>
      <rPr>
        <b/>
        <sz val="10"/>
        <color indexed="12"/>
        <rFont val="Arial"/>
        <family val="2"/>
      </rPr>
      <t xml:space="preserve">Other
</t>
    </r>
    <r>
      <rPr>
        <sz val="10"/>
        <color indexed="12"/>
        <rFont val="Arial"/>
        <family val="2"/>
      </rPr>
      <t xml:space="preserve"> (Satellite, Cable, Broadcast TV/Radio, Closed-Circuit, Video Tapes, CD ROM)            </t>
    </r>
    <r>
      <rPr>
        <b/>
        <sz val="10"/>
        <color indexed="12"/>
        <rFont val="Arial"/>
        <family val="2"/>
      </rPr>
      <t xml:space="preserve"> </t>
    </r>
  </si>
  <si>
    <r>
      <rPr>
        <b/>
        <sz val="10"/>
        <color rgb="FF000000"/>
        <rFont val="Arial"/>
        <family val="2"/>
      </rPr>
      <t xml:space="preserve">Correspondence
</t>
    </r>
    <r>
      <rPr>
        <sz val="10"/>
        <color rgb="FF000000"/>
        <rFont val="Arial"/>
        <family val="2"/>
      </rPr>
      <t xml:space="preserve">(no significant site attendance required-less than 50% of the course content is electronically delivered)     </t>
    </r>
  </si>
  <si>
    <t>State</t>
  </si>
  <si>
    <t>Institution</t>
  </si>
  <si>
    <t>Classification Notes</t>
  </si>
  <si>
    <t>IPEDS #</t>
  </si>
  <si>
    <t>Category</t>
  </si>
  <si>
    <t>Note</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</si>
  <si>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</si>
  <si>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</si>
  <si>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</si>
  <si>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</si>
  <si>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</si>
  <si>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</si>
  <si>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</si>
  <si>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</si>
  <si>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</si>
  <si>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</si>
  <si>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</si>
  <si>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</si>
  <si>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</si>
  <si>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</si>
  <si>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</si>
  <si>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</si>
  <si>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</si>
  <si>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</si>
  <si>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</si>
  <si>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</si>
  <si>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</si>
  <si>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</si>
  <si>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</si>
  <si>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</si>
  <si>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</si>
  <si>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</si>
  <si>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</si>
  <si>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</si>
  <si>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</si>
  <si>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</si>
  <si>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</si>
  <si>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</si>
  <si>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</si>
  <si>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</si>
  <si>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</si>
  <si>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</si>
  <si>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</si>
  <si>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</si>
  <si>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</si>
  <si>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</si>
  <si>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</si>
  <si>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</si>
  <si>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</si>
  <si>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</si>
  <si>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</si>
  <si>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</si>
  <si>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</si>
  <si>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 xml:space="preserve">John C. Calhoun State Community College </t>
  </si>
  <si>
    <t>Bevill State Community College</t>
  </si>
  <si>
    <t>Bishop State Community College</t>
  </si>
  <si>
    <t>Enterprise-Ozark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</si>
  <si>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</si>
  <si>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</si>
  <si>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</si>
  <si>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</si>
  <si>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</si>
  <si>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</si>
  <si>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</si>
  <si>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</si>
  <si>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</si>
  <si>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</si>
  <si>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</si>
  <si>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</si>
  <si>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</si>
  <si>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</si>
  <si>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</si>
  <si>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</si>
  <si>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</si>
  <si>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</si>
  <si>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</si>
  <si>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</si>
  <si>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</si>
  <si>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Met the criteria for Four-Year 1 in 2016-17 and 2017-18.</t>
  </si>
  <si>
    <t>Met the criteria for Four-Year 2 in 2016-17 and 2017-18.</t>
  </si>
  <si>
    <t>Reclassified: Met the criteria for Two-Year 3 in 2015-16, 2016-17, and 2017-18.</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</si>
  <si>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</si>
  <si>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</si>
  <si>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</si>
  <si>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</si>
  <si>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</si>
  <si>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</si>
  <si>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</si>
  <si>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</si>
  <si>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</si>
  <si>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</si>
  <si>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</si>
  <si>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</si>
  <si>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</si>
  <si>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</si>
  <si>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</si>
  <si>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</si>
  <si>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</si>
  <si>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</si>
  <si>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</si>
  <si>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</si>
  <si>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</si>
  <si>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</si>
  <si>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</si>
  <si>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</si>
  <si>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</si>
  <si>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</si>
  <si>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</si>
  <si>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</si>
  <si>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</si>
  <si>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</si>
  <si>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</si>
  <si>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</si>
  <si>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</si>
  <si>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</si>
  <si>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Met the criteria for Four-Year 3 in 2017-18.</t>
  </si>
  <si>
    <t>Met the criteria for Four-Year 4 in 2017-18.</t>
  </si>
  <si>
    <t>Met the criteria for Four-Year 5 in 2016-17 and 2017-18.</t>
  </si>
  <si>
    <t xml:space="preserve">Met the criteria for Two-Year 2 in 2016-17 and 2017-18. </t>
  </si>
  <si>
    <t>DE</t>
  </si>
  <si>
    <t>University of Delaware</t>
  </si>
  <si>
    <t>Delaware State University</t>
  </si>
  <si>
    <t>Delaware Technical and Community College--Terry</t>
  </si>
  <si>
    <t xml:space="preserve">Met the criteria for Two-Year 1 in 2017-18. </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</si>
  <si>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</si>
  <si>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</si>
  <si>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</si>
  <si>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</si>
  <si>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</si>
  <si>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</si>
  <si>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</si>
  <si>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</si>
  <si>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Florida Keys Community College </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</si>
  <si>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</si>
  <si>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</si>
  <si>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</si>
  <si>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</si>
  <si>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</si>
  <si>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</si>
  <si>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</si>
  <si>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 xml:space="preserve">North Florida Community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</si>
  <si>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</si>
  <si>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</si>
  <si>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</si>
  <si>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</si>
  <si>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</si>
  <si>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</si>
  <si>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</si>
  <si>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</si>
  <si>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</si>
  <si>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</si>
  <si>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</si>
  <si>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</si>
  <si>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 xml:space="preserve">Reclassified: Met the criteria for Two-Year with Bachelor's in 2015-16, 2016-17, and 2017-18. </t>
  </si>
  <si>
    <t xml:space="preserve">Met the criteria for Two-Year with Bachelor's in 2016-17 and 2017-18. </t>
  </si>
  <si>
    <t>GA</t>
  </si>
  <si>
    <t>Georgia State University (includes Georgia Perimeter College)</t>
  </si>
  <si>
    <t>139940</t>
  </si>
  <si>
    <t>University of Georgia</t>
  </si>
  <si>
    <t>139959</t>
  </si>
  <si>
    <t>Georgia Institute of Technology</t>
  </si>
  <si>
    <t>139755</t>
  </si>
  <si>
    <t>Georgia Southern University</t>
  </si>
  <si>
    <t>139931</t>
  </si>
  <si>
    <t>Kennesaw State University</t>
  </si>
  <si>
    <t>140164</t>
  </si>
  <si>
    <t>University of West Georgia</t>
  </si>
  <si>
    <t>141334</t>
  </si>
  <si>
    <t xml:space="preserve">Valdosta State University </t>
  </si>
  <si>
    <t>141264</t>
  </si>
  <si>
    <t xml:space="preserve">Albany State University </t>
  </si>
  <si>
    <t>138716</t>
  </si>
  <si>
    <t>Armstrong State University</t>
  </si>
  <si>
    <t>138789</t>
  </si>
  <si>
    <t>Clayton State University</t>
  </si>
  <si>
    <t>139311</t>
  </si>
  <si>
    <t>Columbus State University</t>
  </si>
  <si>
    <t>139366</t>
  </si>
  <si>
    <t>Fort Valley State University</t>
  </si>
  <si>
    <t>139719</t>
  </si>
  <si>
    <t>Georgia College and State University</t>
  </si>
  <si>
    <t>139861</t>
  </si>
  <si>
    <t>Georgia Regents University</t>
  </si>
  <si>
    <t>482149</t>
  </si>
  <si>
    <t>University of North Georgia</t>
  </si>
  <si>
    <t>Georgia Southwestern State University</t>
  </si>
  <si>
    <t>139764</t>
  </si>
  <si>
    <t>Savannah State University</t>
  </si>
  <si>
    <t>140960</t>
  </si>
  <si>
    <t xml:space="preserve">College of Coastal Georgia </t>
  </si>
  <si>
    <t>139250</t>
  </si>
  <si>
    <t xml:space="preserve">Dalton State College </t>
  </si>
  <si>
    <t>139463</t>
  </si>
  <si>
    <t>Georgia Gwinnett College</t>
  </si>
  <si>
    <t>447689</t>
  </si>
  <si>
    <t>Middle Georgia State College</t>
  </si>
  <si>
    <t xml:space="preserve">Abraham Baldwin Agricultural College </t>
  </si>
  <si>
    <t>138558</t>
  </si>
  <si>
    <t>Atlanta Metropolitan State College</t>
  </si>
  <si>
    <t>138901</t>
  </si>
  <si>
    <t xml:space="preserve">Darton State College </t>
  </si>
  <si>
    <t>138691</t>
  </si>
  <si>
    <t>East Georgia State College</t>
  </si>
  <si>
    <t>139621</t>
  </si>
  <si>
    <t>Georgia Highlands College</t>
  </si>
  <si>
    <t>139700</t>
  </si>
  <si>
    <t xml:space="preserve">Gordon State College </t>
  </si>
  <si>
    <t>139968</t>
  </si>
  <si>
    <t>South Georgia State College</t>
  </si>
  <si>
    <t>Georgia Perimeter College  (now reported with Georgia State University)</t>
  </si>
  <si>
    <t>244437</t>
  </si>
  <si>
    <t xml:space="preserve">Bainbridge State College </t>
  </si>
  <si>
    <t>139010</t>
  </si>
  <si>
    <t>Reclassifed: Met the criteria for Four-Year 4 in 2015-16, 2016-17, and 2017-18.</t>
  </si>
  <si>
    <t xml:space="preserve">Met the criteria for Four-Year 6 in 2017-18. </t>
  </si>
  <si>
    <t xml:space="preserve">Met the criteria for Two-Year 3 in 2017-18. </t>
  </si>
  <si>
    <t xml:space="preserve">Met the criteria for Two-Year with Bachelor's in 2017-18. </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</si>
  <si>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</si>
  <si>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</si>
  <si>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</si>
  <si>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</si>
  <si>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</si>
  <si>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</si>
  <si>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</si>
  <si>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</si>
  <si>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</si>
  <si>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</si>
  <si>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</si>
  <si>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</si>
  <si>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</si>
  <si>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</si>
  <si>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</si>
  <si>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</si>
  <si>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</si>
  <si>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</si>
  <si>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</si>
  <si>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</si>
  <si>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</si>
  <si>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</si>
  <si>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 xml:space="preserve">Met the criteria for Technical Institute or College - Size Unknown in 2017-18. </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</si>
  <si>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</si>
  <si>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</si>
  <si>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</si>
  <si>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</si>
  <si>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</si>
  <si>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</si>
  <si>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</si>
  <si>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</si>
  <si>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</si>
  <si>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</si>
  <si>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</si>
  <si>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</si>
  <si>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</si>
  <si>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</si>
  <si>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</si>
  <si>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</si>
  <si>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</si>
  <si>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</si>
  <si>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</si>
  <si>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</si>
  <si>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</si>
  <si>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</si>
  <si>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</si>
  <si>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</si>
  <si>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</si>
  <si>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Southcentral Kentucky Community and Technical College</t>
  </si>
  <si>
    <t>Met the criteria for Two-Year 3 in 2017-18.</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</si>
  <si>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</si>
  <si>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</si>
  <si>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</si>
  <si>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</si>
  <si>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</si>
  <si>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</si>
  <si>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</si>
  <si>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</si>
  <si>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</si>
  <si>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</si>
  <si>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</si>
  <si>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</si>
  <si>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</si>
  <si>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</si>
  <si>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</si>
  <si>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</si>
  <si>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</si>
  <si>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</si>
  <si>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</si>
  <si>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</si>
  <si>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</si>
  <si>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</si>
  <si>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</si>
  <si>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</si>
  <si>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</si>
  <si>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</si>
  <si>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</si>
  <si>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</si>
  <si>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</si>
  <si>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</si>
  <si>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</si>
  <si>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</si>
  <si>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Reclassified: Met the criteria for Four-Year 3 in 2015-16, 2016-17, and 2017-18.</t>
  </si>
  <si>
    <t>Met the criteria for Two-Year 2 in 2017-18.</t>
  </si>
  <si>
    <t xml:space="preserve">Met the criteria for Technical Institute or College 2 in 2017-18. </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</si>
  <si>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</si>
  <si>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</si>
  <si>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</si>
  <si>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</si>
  <si>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</si>
  <si>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</si>
  <si>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</si>
  <si>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</si>
  <si>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</si>
  <si>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</si>
  <si>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</si>
  <si>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</si>
  <si>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</si>
  <si>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</si>
  <si>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</si>
  <si>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</si>
  <si>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</si>
  <si>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</si>
  <si>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</si>
  <si>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</si>
  <si>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</si>
  <si>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</si>
  <si>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</si>
  <si>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</si>
  <si>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</si>
  <si>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</si>
  <si>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</si>
  <si>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</si>
  <si>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</si>
  <si>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</si>
  <si>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Met the criteria for Four-Year 5 in 2017-18.</t>
  </si>
  <si>
    <t>Met the criteria for Two-Year 3 in 2016-17 and 2017-18.</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</si>
  <si>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</si>
  <si>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</si>
  <si>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</si>
  <si>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</si>
  <si>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</si>
  <si>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</si>
  <si>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</si>
  <si>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</si>
  <si>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</si>
  <si>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Reclassified: Met the criteria for Four-Year 1 in 2015-16, 2016-17, and 2017-18.</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</si>
  <si>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</si>
  <si>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</si>
  <si>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</si>
  <si>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</si>
  <si>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</si>
  <si>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</si>
  <si>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</si>
  <si>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</si>
  <si>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</si>
  <si>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</si>
  <si>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</si>
  <si>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</si>
  <si>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</si>
  <si>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</si>
  <si>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</si>
  <si>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Reclassified: Met the criteria for Two-Year 1 in 2015-16, 2016-17, and 2017-18.</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</si>
  <si>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</si>
  <si>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</si>
  <si>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</si>
  <si>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</si>
  <si>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</si>
  <si>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</si>
  <si>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</si>
  <si>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</si>
  <si>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</si>
  <si>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</si>
  <si>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</si>
  <si>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</si>
  <si>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</si>
  <si>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</si>
  <si>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</si>
  <si>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</si>
  <si>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</si>
  <si>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</si>
  <si>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</si>
  <si>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</si>
  <si>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</si>
  <si>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</si>
  <si>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</si>
  <si>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</si>
  <si>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</si>
  <si>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</si>
  <si>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</si>
  <si>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</si>
  <si>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</si>
  <si>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</si>
  <si>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</si>
  <si>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</si>
  <si>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</si>
  <si>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</si>
  <si>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</si>
  <si>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</si>
  <si>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</si>
  <si>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</si>
  <si>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</si>
  <si>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</si>
  <si>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</si>
  <si>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</si>
  <si>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</si>
  <si>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</si>
  <si>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</si>
  <si>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</si>
  <si>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</si>
  <si>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</si>
  <si>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</si>
  <si>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</si>
  <si>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</si>
  <si>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</si>
  <si>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</si>
  <si>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</si>
  <si>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</si>
  <si>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</si>
  <si>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</si>
  <si>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</si>
  <si>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</si>
  <si>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</si>
  <si>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</si>
  <si>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</si>
  <si>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</si>
  <si>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</si>
  <si>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</si>
  <si>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</si>
  <si>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</si>
  <si>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</si>
  <si>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</si>
  <si>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</si>
  <si>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</si>
  <si>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</si>
  <si>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</si>
  <si>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</si>
  <si>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Met the criteria for Two-Year 2 in 2016-17 and 2017-18.</t>
  </si>
  <si>
    <t>OK</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</si>
  <si>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</si>
  <si>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</si>
  <si>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</si>
  <si>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</si>
  <si>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</si>
  <si>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</si>
  <si>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</si>
  <si>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</si>
  <si>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</si>
  <si>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</si>
  <si>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</si>
  <si>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</si>
  <si>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</si>
  <si>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</si>
  <si>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Oklahoma State University-Oklahoma City</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</si>
  <si>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</si>
  <si>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</si>
  <si>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</si>
  <si>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</si>
  <si>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</si>
  <si>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</si>
  <si>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</si>
  <si>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</si>
  <si>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</si>
  <si>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</si>
  <si>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</si>
  <si>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</si>
  <si>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 xml:space="preserve">Canadian Valley Technology Center                 </t>
  </si>
  <si>
    <t>Reclassified: Met the criteria for Four-Year 4 in 2015-16, 2016-17, and 2017-18.</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</si>
  <si>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</si>
  <si>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</si>
  <si>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</si>
  <si>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</si>
  <si>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</si>
  <si>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</si>
  <si>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</si>
  <si>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</si>
  <si>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</si>
  <si>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</si>
  <si>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</si>
  <si>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</si>
  <si>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</si>
  <si>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</si>
  <si>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</si>
  <si>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</si>
  <si>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</si>
  <si>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</si>
  <si>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</si>
  <si>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</si>
  <si>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</si>
  <si>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</si>
  <si>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</si>
  <si>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</si>
  <si>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</si>
  <si>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</si>
  <si>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</si>
  <si>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</si>
  <si>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</si>
  <si>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</si>
  <si>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</si>
  <si>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</si>
  <si>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</si>
  <si>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Met the criteria for Four-Year 4 in 2016-17 and 2017-18.</t>
  </si>
  <si>
    <t>Reclassified: Met the criteria for Two-Year 2 in 2015-16, 2016-17, and 2017-18.</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</si>
  <si>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</si>
  <si>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</si>
  <si>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</si>
  <si>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</si>
  <si>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</si>
  <si>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</si>
  <si>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</si>
  <si>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</si>
  <si>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</si>
  <si>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</si>
  <si>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</si>
  <si>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</si>
  <si>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</si>
  <si>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</si>
  <si>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</si>
  <si>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</si>
  <si>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</si>
  <si>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</si>
  <si>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</si>
  <si>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</si>
  <si>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</si>
  <si>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</si>
  <si>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</si>
  <si>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</si>
  <si>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</si>
  <si>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</si>
  <si>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</si>
  <si>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</si>
  <si>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</si>
  <si>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</si>
  <si>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</si>
  <si>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</si>
  <si>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</si>
  <si>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</si>
  <si>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</si>
  <si>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</si>
  <si>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</si>
  <si>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</si>
  <si>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</si>
  <si>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</si>
  <si>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</si>
  <si>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</si>
  <si>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</si>
  <si>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</si>
  <si>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</si>
  <si>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</si>
  <si>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</si>
  <si>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</si>
  <si>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</si>
  <si>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</si>
  <si>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</si>
  <si>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Reclassified: Met the criteria for Four-Year 2 in 2015-16, 2016-17, and 2017-18.</t>
  </si>
  <si>
    <t>Met the criteria for Technical Institute or College 2 in 2017-18.</t>
  </si>
  <si>
    <t>TX</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</si>
  <si>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</si>
  <si>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</si>
  <si>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</si>
  <si>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</si>
  <si>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</si>
  <si>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</si>
  <si>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</si>
  <si>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</si>
  <si>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</si>
  <si>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</si>
  <si>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</si>
  <si>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</si>
  <si>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</si>
  <si>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</si>
  <si>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</si>
  <si>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</si>
  <si>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</si>
  <si>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</si>
  <si>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</si>
  <si>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 - Commerce</t>
  </si>
  <si>
    <t xml:space="preserve">Texas A &amp; M University-Corpus Christi </t>
  </si>
  <si>
    <t>Texas A &amp; M University-Kingsville</t>
  </si>
  <si>
    <t xml:space="preserve">Texas Southern University </t>
  </si>
  <si>
    <t>Texas State University</t>
  </si>
  <si>
    <t xml:space="preserve">University of Houston-Clear Lake </t>
  </si>
  <si>
    <t>University of Texas - Rio Grande Valley</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</si>
  <si>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</si>
  <si>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</si>
  <si>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</si>
  <si>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</si>
  <si>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</si>
  <si>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</si>
  <si>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</si>
  <si>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</si>
  <si>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</si>
  <si>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</si>
  <si>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</si>
  <si>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</si>
  <si>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</si>
  <si>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</si>
  <si>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</si>
  <si>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</si>
  <si>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</si>
  <si>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</si>
  <si>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</si>
  <si>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</si>
  <si>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</si>
  <si>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</si>
  <si>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</si>
  <si>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</si>
  <si>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</si>
  <si>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</si>
  <si>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</si>
  <si>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</si>
  <si>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</si>
  <si>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</si>
  <si>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</si>
  <si>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</si>
  <si>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</si>
  <si>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</si>
  <si>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</si>
  <si>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</si>
  <si>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</si>
  <si>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</si>
  <si>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</si>
  <si>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</si>
  <si>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</si>
  <si>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</si>
  <si>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</si>
  <si>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</si>
  <si>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</si>
  <si>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</si>
  <si>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</si>
  <si>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</si>
  <si>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</si>
  <si>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</si>
  <si>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</si>
  <si>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</si>
  <si>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</si>
  <si>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</si>
  <si>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</si>
  <si>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</si>
  <si>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</si>
  <si>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</si>
  <si>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</si>
  <si>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</si>
  <si>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</si>
  <si>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</si>
  <si>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</si>
  <si>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</si>
  <si>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</si>
  <si>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</si>
  <si>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</si>
  <si>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</si>
  <si>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</si>
  <si>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</si>
  <si>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</si>
  <si>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</si>
  <si>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</si>
  <si>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</si>
  <si>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</si>
  <si>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</si>
  <si>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</si>
  <si>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</si>
  <si>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</si>
  <si>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</si>
  <si>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New fall 2009. No degrees yet granted.</t>
  </si>
  <si>
    <t>Texas State Technical College-North Texas</t>
  </si>
  <si>
    <t>New Fall 2016</t>
  </si>
  <si>
    <t>Texas State Technical College-Fort Bend</t>
  </si>
  <si>
    <t>Met the criteria for Four-Year 1 in 2017-18.</t>
  </si>
  <si>
    <t>Met the criteria for Four-Year 6 in 2017-18.</t>
  </si>
  <si>
    <t>Met the criteria for Two-Year 1 in 2016-17 and 2017-18.</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</si>
  <si>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</si>
  <si>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</si>
  <si>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</si>
  <si>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</si>
  <si>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</si>
  <si>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</si>
  <si>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</si>
  <si>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</si>
  <si>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</si>
  <si>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</si>
  <si>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</si>
  <si>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</si>
  <si>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</si>
  <si>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</si>
  <si>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</si>
  <si>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</si>
  <si>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</si>
  <si>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</si>
  <si>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</si>
  <si>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</si>
  <si>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</si>
  <si>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</si>
  <si>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</si>
  <si>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</si>
  <si>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</si>
  <si>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</si>
  <si>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</si>
  <si>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</si>
  <si>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</si>
  <si>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</si>
  <si>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</si>
  <si>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</si>
  <si>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</si>
  <si>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</si>
  <si>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</si>
  <si>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</si>
  <si>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</si>
  <si>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</si>
  <si>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</si>
  <si>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</si>
  <si>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Met the criteria for Four-Year 2 in 2017-18.</t>
  </si>
  <si>
    <t xml:space="preserve">Met the criteria for Two-Year 3 in 2016-17 and 2017-18.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</si>
  <si>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</si>
  <si>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</si>
  <si>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</si>
  <si>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</si>
  <si>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</si>
  <si>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</si>
  <si>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</si>
  <si>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</si>
  <si>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</si>
  <si>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</si>
  <si>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</si>
  <si>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</si>
  <si>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</si>
  <si>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</si>
  <si>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</si>
  <si>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</si>
  <si>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</si>
  <si>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</si>
  <si>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</si>
  <si>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</si>
  <si>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</si>
  <si>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</si>
  <si>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 xml:space="preserve">Met the criteria for Two-Year 2 in  2017-18. </t>
  </si>
  <si>
    <t>Academy of Careers and Technology (Raleigh County)</t>
  </si>
  <si>
    <t>Ben Franklin Career Center</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</si>
  <si>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</si>
  <si>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</si>
  <si>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</si>
  <si>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</si>
  <si>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</si>
  <si>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</si>
  <si>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</si>
  <si>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</si>
  <si>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</si>
  <si>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</si>
  <si>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</si>
  <si>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</si>
  <si>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</si>
  <si>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</si>
  <si>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Ralph R. Willis Career and Technical Center</t>
  </si>
  <si>
    <t>Roane-Jackson Technical Center</t>
  </si>
  <si>
    <t>South Branch Career &amp; Technical Center</t>
  </si>
  <si>
    <t>United Technical Center</t>
  </si>
  <si>
    <t xml:space="preserve">Wyoming County </t>
  </si>
  <si>
    <t>Greenbrier Practical School of Nursing</t>
  </si>
  <si>
    <t>Mingo Extended Learning Center</t>
  </si>
  <si>
    <t>Randolph Technical Center</t>
  </si>
  <si>
    <t>Summers County School of Nursing</t>
  </si>
  <si>
    <t>Wood County School of Practical Nursing</t>
  </si>
  <si>
    <t>NOT a Review Table</t>
  </si>
  <si>
    <t>type2</t>
  </si>
  <si>
    <t>Four-Year</t>
  </si>
  <si>
    <t>Four-Year Total</t>
  </si>
  <si>
    <t>14 Total</t>
  </si>
  <si>
    <t>Two-Year</t>
  </si>
  <si>
    <t>Two-Year Total</t>
  </si>
  <si>
    <t>Techncial</t>
  </si>
  <si>
    <t>Techncial Total</t>
  </si>
  <si>
    <t>Data</t>
  </si>
  <si>
    <t>Sum of OLD-Tot UG SCH Calc</t>
  </si>
  <si>
    <t>Sum of NEW-Tot UG SCH Calc</t>
  </si>
  <si>
    <t>Sum of Old UG E-Learning</t>
  </si>
  <si>
    <t>Sum of New UG E-Learning</t>
  </si>
  <si>
    <t>Sum of Old-Tot G SCH Calc</t>
  </si>
  <si>
    <t>Sum of New-Tot G SCH Calc</t>
  </si>
  <si>
    <t>Sum of Old G E-Learning</t>
  </si>
  <si>
    <t>Sum of New G E-Learning</t>
  </si>
  <si>
    <t xml:space="preserve"> </t>
  </si>
  <si>
    <t>Four-Year +</t>
  </si>
  <si>
    <t>Four-Year + Total</t>
  </si>
  <si>
    <t>Technical</t>
  </si>
  <si>
    <t>Technical Total</t>
  </si>
  <si>
    <t>Grand Total</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</si>
  <si>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</si>
  <si>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</si>
  <si>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</si>
  <si>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</si>
  <si>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</si>
  <si>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</si>
  <si>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</si>
  <si>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</si>
  <si>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</si>
  <si>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</si>
  <si>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</si>
  <si>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</si>
  <si>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</si>
  <si>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</si>
  <si>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</si>
  <si>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</si>
  <si>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</si>
  <si>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</si>
  <si>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</si>
  <si>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</si>
  <si>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</si>
  <si>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</si>
  <si>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</si>
  <si>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</si>
  <si>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</si>
  <si>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</si>
  <si>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</si>
  <si>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</si>
  <si>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</si>
  <si>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</si>
  <si>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</si>
  <si>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</si>
  <si>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</si>
  <si>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</si>
  <si>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</si>
  <si>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</si>
  <si>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</si>
  <si>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</si>
  <si>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</si>
  <si>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</si>
  <si>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</si>
  <si>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</si>
  <si>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</si>
  <si>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</si>
  <si>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</si>
  <si>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</si>
  <si>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</si>
  <si>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</si>
  <si>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</si>
  <si>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</si>
  <si>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</si>
  <si>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</si>
  <si>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</si>
  <si>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</si>
  <si>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</si>
  <si>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</si>
  <si>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</si>
  <si>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</si>
  <si>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</si>
  <si>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</si>
  <si>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</si>
  <si>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</si>
  <si>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</si>
  <si>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</si>
  <si>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</si>
  <si>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</si>
  <si>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</si>
  <si>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</si>
  <si>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</si>
  <si>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</si>
  <si>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</si>
  <si>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</si>
  <si>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(blank)</t>
  </si>
  <si>
    <t>(blank) Total</t>
  </si>
  <si>
    <t>Total UG SCH</t>
  </si>
  <si>
    <t>4-year</t>
  </si>
  <si>
    <t>2-year</t>
  </si>
  <si>
    <t>Tech</t>
  </si>
  <si>
    <t>Total</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</si>
  <si>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</si>
  <si>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</si>
  <si>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</si>
  <si>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</si>
  <si>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</si>
  <si>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</si>
  <si>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</si>
  <si>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</si>
  <si>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</si>
  <si>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</si>
  <si>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</si>
  <si>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</si>
  <si>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</si>
  <si>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</si>
  <si>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</si>
  <si>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</si>
  <si>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E-Learning UG SCH</t>
  </si>
  <si>
    <t>Total G SCH</t>
  </si>
  <si>
    <t>E-Learning G SCH</t>
  </si>
  <si>
    <t>Table 91</t>
  </si>
  <si>
    <t>Table 106</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</si>
  <si>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</si>
  <si>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</si>
  <si>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</si>
  <si>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</si>
  <si>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</si>
  <si>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</si>
  <si>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</si>
  <si>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</si>
  <si>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</si>
  <si>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2</t>
    </r>
  </si>
  <si>
    <t>Corre- spondence</t>
  </si>
  <si>
    <t>check figs</t>
  </si>
  <si>
    <r>
      <t>Florida</t>
    </r>
    <r>
      <rPr>
        <vertAlign val="superscript"/>
        <sz val="10"/>
        <rFont val="Arial"/>
        <family val="2"/>
      </rPr>
      <t>3</t>
    </r>
  </si>
  <si>
    <r>
      <t>1</t>
    </r>
    <r>
      <rPr>
        <sz val="8"/>
        <rFont val="Arial"/>
        <family val="2"/>
      </rPr>
      <t>This "all four-year" table includes the Marion Military Institute, University of Arkansas for Medical Sciences, University of Maryland University College, and University of Maryland - Baltimore.</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</si>
  <si>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</si>
  <si>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</si>
  <si>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t>Table 92</t>
  </si>
  <si>
    <t>Table 107</t>
  </si>
  <si>
    <r>
      <t>Other</t>
    </r>
    <r>
      <rPr>
        <b/>
        <vertAlign val="superscript"/>
        <sz val="9"/>
        <rFont val="Arial"/>
        <family val="2"/>
      </rPr>
      <t>1</t>
    </r>
  </si>
  <si>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</si>
  <si>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</si>
  <si>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 75 percent rule to define e-learning so their figures here are likely lower than they would be if they used the 50 percent rule.</t>
    </r>
  </si>
  <si>
    <t>Table 93</t>
  </si>
  <si>
    <t>Table 108</t>
  </si>
  <si>
    <t>Table 94</t>
  </si>
  <si>
    <t>Table 109</t>
  </si>
  <si>
    <r>
      <t>2</t>
    </r>
    <r>
      <rPr>
        <sz val="8"/>
        <rFont val="Arial"/>
        <family val="2"/>
      </rPr>
      <t>The university system in Florida uses an 80 percent rule to define e-learning so their figures here are likely lower than they would be if they used the 50 percent rule.</t>
    </r>
  </si>
  <si>
    <t>Table 95</t>
  </si>
  <si>
    <t>Table 110</t>
  </si>
  <si>
    <t>Table 96</t>
  </si>
  <si>
    <t>Table 111</t>
  </si>
  <si>
    <t>Table 97</t>
  </si>
  <si>
    <t>Table 112</t>
  </si>
  <si>
    <t>Table 98</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</si>
  <si>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</si>
  <si>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</si>
  <si>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Table 99</t>
  </si>
  <si>
    <r>
      <t>2</t>
    </r>
    <r>
      <rPr>
        <sz val="8"/>
        <rFont val="Arial"/>
        <family val="2"/>
      </rPr>
      <t>Florida Community Colleges define e-learning when 75 percent of course content is delivered electronically so the figures reported here are likely lower than they would be if they employed a 50 percent rule.</t>
    </r>
  </si>
  <si>
    <t>Table 100</t>
  </si>
  <si>
    <t>Table 101</t>
  </si>
  <si>
    <t>Table 102</t>
  </si>
  <si>
    <t>Table 103</t>
  </si>
  <si>
    <t>Table 104</t>
  </si>
  <si>
    <t>Table 105</t>
  </si>
  <si>
    <t>Public Four-Year Institutions1, 2016</t>
  </si>
  <si>
    <t>Public Four-Year 1 Institutions, 2016</t>
  </si>
  <si>
    <t>Public Four-Year 2 Institutions, 2016</t>
  </si>
  <si>
    <t>Public Four-Year 3 Institutions, 2016</t>
  </si>
  <si>
    <t>Public Four-Year 4 Institutions, 2016</t>
  </si>
  <si>
    <t>Public Four-Year 5 Institutions, 2016</t>
  </si>
  <si>
    <t>Public Four-Year 6 Institutions, 2016</t>
  </si>
  <si>
    <t>Public Two-Year, 2016</t>
  </si>
  <si>
    <t>Public Two-Year with Bachelor's Institutions, 2016</t>
  </si>
  <si>
    <t>Public Two-Year 1 Institutions, 2016</t>
  </si>
  <si>
    <t>Public Two-Year 2 Institutions, 2016</t>
  </si>
  <si>
    <t>Public Two-Year 3 Institutions, 2016</t>
  </si>
  <si>
    <t>Public Technical Institutes or Colleges, 2016</t>
  </si>
  <si>
    <t>Public Technical Institutes or Colleges 1, 2016</t>
  </si>
  <si>
    <t>Public Technical Institutes or Colleges 2, 2016</t>
  </si>
  <si>
    <r>
      <t>1</t>
    </r>
    <r>
      <rPr>
        <sz val="8"/>
        <rFont val="Arial"/>
        <family val="2"/>
      </rPr>
      <t>This "all four-year" table includes the Marion Military Institute, University of Arkansas for Medical Sciences, Southern Polytechnic State University, University of Maryland University College, and University of Maryland - Baltimore.</t>
    </r>
  </si>
  <si>
    <t>Public Four-Year Institutions1, 2017</t>
  </si>
  <si>
    <t>Public Four-Year 1 Institutions, 2017</t>
  </si>
  <si>
    <t>Public Four-Year 2 Institutions, 2017</t>
  </si>
  <si>
    <t>Public Four-Year 3 Institutions, 2017</t>
  </si>
  <si>
    <t>Public Four-Year 4 Institutions, 2017</t>
  </si>
  <si>
    <t>Public Four-Year 5 Institutions, 2017</t>
  </si>
  <si>
    <t>Public Four-Year 6 Institutions, 2017</t>
  </si>
  <si>
    <t>Public Two-Year, 2017</t>
  </si>
  <si>
    <t>Public Two-Year with Bachelor's Institutions, 2017</t>
  </si>
  <si>
    <t>Public Two-Year 1 Institutions, 2017</t>
  </si>
  <si>
    <t>Public Two-Year 2 Institutions, 2017</t>
  </si>
  <si>
    <t>Public Two-Year 3 Institutions, 2017</t>
  </si>
  <si>
    <t>Public Technical Institutes or Colleges, 2017</t>
  </si>
  <si>
    <t>Public Technical Institutes or Colleges 1, 2017</t>
  </si>
  <si>
    <t>Public Technical Institutes or Colleges 2, 2017</t>
  </si>
  <si>
    <t>Table 87</t>
  </si>
  <si>
    <r>
      <t>All</t>
    </r>
    <r>
      <rPr>
        <b/>
        <vertAlign val="superscript"/>
        <sz val="10"/>
        <rFont val="Arial"/>
        <family val="2"/>
      </rPr>
      <t>1</t>
    </r>
  </si>
  <si>
    <t>with bachs.</t>
  </si>
  <si>
    <t>All</t>
  </si>
  <si>
    <r>
      <t xml:space="preserve">1 </t>
    </r>
    <r>
      <rPr>
        <sz val="8"/>
        <rFont val="Arial"/>
        <family val="2"/>
      </rPr>
      <t>The "all four-year" figures include the Marion Military Institute, University of Arkansas for Medical Sciences, University of Maryland University College, and University of Maryland - Baltimore.</t>
    </r>
  </si>
  <si>
    <t>Table 88</t>
  </si>
  <si>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</si>
  <si>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t>Table 89</t>
  </si>
  <si>
    <t>Percent of Graduate Instructional Activity</t>
  </si>
  <si>
    <t xml:space="preserve"> in Traditional Classroom Instruction</t>
  </si>
  <si>
    <r>
      <t>1</t>
    </r>
    <r>
      <rPr>
        <sz val="8"/>
        <rFont val="Arial"/>
        <family val="2"/>
      </rPr>
      <t xml:space="preserve"> The "all four-year" figures include the Marion Military Institute, University of Arkansas for Medical Sciences, University of Maryland University College, and University of Maryland - Baltimore.</t>
    </r>
  </si>
  <si>
    <t>Table 90</t>
  </si>
  <si>
    <t>Percent of Graduate Instructional Activity in e-Learning</t>
  </si>
  <si>
    <r>
      <t>2</t>
    </r>
    <r>
      <rPr>
        <sz val="8"/>
        <rFont val="Arial"/>
        <family val="2"/>
      </rPr>
      <t xml:space="preserve"> The university system in Florida uses an 80 percent rule to define e-learning so their figures here are likely lower than they would be if they used the 50 percent rule.</t>
    </r>
  </si>
  <si>
    <t>Percent of Undergraduate Instructional Activity in Traditional Classroom Instruction by Type of Institution, 2016</t>
  </si>
  <si>
    <t>Percent of Undergraduate Instructional Activity in e-Learning by Type of Institution, 2016</t>
  </si>
  <si>
    <t>by Type of Institution, 2016</t>
  </si>
  <si>
    <r>
      <t>All</t>
    </r>
    <r>
      <rPr>
        <b/>
        <vertAlign val="superscript"/>
        <sz val="9"/>
        <rFont val="Arial"/>
        <family val="2"/>
      </rPr>
      <t>1</t>
    </r>
  </si>
  <si>
    <r>
      <t xml:space="preserve">1 </t>
    </r>
    <r>
      <rPr>
        <sz val="8"/>
        <rFont val="Arial"/>
        <family val="2"/>
      </rPr>
      <t>The "all four-year" figures include the Marion Military Institute, University of Arkansas for Medical Sciences, Southern Polytechnic State University, University of Maryland University College, and University of Maryland - Baltimore.</t>
    </r>
  </si>
  <si>
    <t>Change</t>
  </si>
  <si>
    <t>4-Yr</t>
  </si>
  <si>
    <t>2-Yr</t>
  </si>
  <si>
    <r>
      <t>1</t>
    </r>
    <r>
      <rPr>
        <sz val="8"/>
        <rFont val="Arial"/>
        <family val="2"/>
      </rPr>
      <t xml:space="preserve"> The "all four-year" figures include the Marion Military Institute, University of Arkansas for Medical Sciences, Southern Polytechnic State University, University of Maryland University College, and University of Maryland - Baltimore.</t>
    </r>
  </si>
  <si>
    <t>Percent of Undergraduate Instructional Activity in Traditional Classroom Instruction by Type of Institution, 2017</t>
  </si>
  <si>
    <t>Percent of Undergraduate Instructional Activity in e-Learning by Type of Institution, 2017</t>
  </si>
  <si>
    <t>by Type of Institution, 2017</t>
  </si>
  <si>
    <t xml:space="preserve">    Feb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</si>
</sst>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
    <numFmt numFmtId="170" formatCode="0.000"/>
    <numFmt numFmtId="171" formatCode="0.0000"/>
    <numFmt numFmtId="172" formatCode="0.00000"/>
  </numFmts>
  <fonts count="53">
    <font>
      <sz val="12"/>
      <name val="AGaramond"/>
    </font>
    <font>
      <sz val="11"/>
      <color theme="1"/>
      <name val="Calibri"/>
      <family val="2"/>
      <scheme val="minor"/>
    </font>
    <font>
      <sz val="10"/>
      <name val="Arial"/>
      <family val="2"/>
    </font>
    <font>
      <b/>
      <sz val="10"/>
      <color indexed="10"/>
      <name val="Arial"/>
      <family val="2"/>
    </font>
    <font>
      <b/>
      <sz val="10"/>
      <name val="Arial"/>
      <family val="2"/>
    </font>
    <font>
      <b/>
      <sz val="10"/>
      <color indexed="12"/>
      <name val="Arial"/>
      <family val="2"/>
    </font>
    <font>
      <sz val="10"/>
      <color indexed="12"/>
      <name val="Arial"/>
      <family val="2"/>
    </font>
    <font>
      <b/>
      <sz val="14"/>
      <name val="Arial"/>
      <family val="2"/>
    </font>
    <font>
      <b/>
      <sz val="10"/>
      <color rgb="FFC00000"/>
      <name val="Arial"/>
      <family val="2"/>
    </font>
    <font>
      <sz val="10"/>
      <color rgb="FF0000FF"/>
      <name val="Arial"/>
      <family val="2"/>
    </font>
    <font>
      <b/>
      <sz val="10"/>
      <color theme="0"/>
      <name val="Arial"/>
      <family val="2"/>
    </font>
    <font>
      <b/>
      <sz val="10"/>
      <color rgb="FF0000FF"/>
      <name val="Arial"/>
      <family val="2"/>
    </font>
    <font>
      <b/>
      <sz val="14"/>
      <color theme="0"/>
      <name val="Arial"/>
      <family val="2"/>
    </font>
    <font>
      <b/>
      <sz val="14"/>
      <color rgb="FFFF0000"/>
      <name val="Arial"/>
      <family val="2"/>
    </font>
    <font>
      <strike/>
      <sz val="8"/>
      <color theme="5"/>
      <name val="Arial"/>
      <family val="2"/>
    </font>
    <font>
      <strike/>
      <sz val="10"/>
      <color theme="5"/>
      <name val="Arial"/>
      <family val="2"/>
    </font>
    <font>
      <strike/>
      <sz val="10"/>
      <color rgb="FFC00000"/>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Tahoma"/>
      <family val="2"/>
    </font>
    <font>
      <sz val="8"/>
      <color rgb="FF000000"/>
      <name val="Tahoma"/>
      <family val="2"/>
    </font>
    <font>
      <b/>
      <sz val="10"/>
      <color rgb="FFFF0000"/>
      <name val="Arial"/>
      <family val="2"/>
    </font>
    <font>
      <sz val="10"/>
      <color rgb="FF000000"/>
      <name val="Times New Roman"/>
      <family val="1"/>
    </font>
    <font>
      <b/>
      <sz val="10"/>
      <color rgb="FF000000"/>
      <name val="Times New Roman"/>
      <family val="1"/>
    </font>
    <font>
      <b/>
      <sz val="11"/>
      <color rgb="FFC00000"/>
      <name val="Calibri"/>
      <family val="2"/>
      <scheme val="minor"/>
    </font>
    <font>
      <b/>
      <sz val="11"/>
      <color theme="1"/>
      <name val="Calibri"/>
      <family val="2"/>
      <scheme val="minor"/>
    </font>
    <font>
      <sz val="10"/>
      <color rgb="FF9C0000"/>
      <name val="Arial"/>
      <family val="2"/>
    </font>
    <font>
      <sz val="11"/>
      <name val="Calibri"/>
      <family val="2"/>
      <scheme val="minor"/>
    </font>
    <font>
      <b/>
      <sz val="11"/>
      <name val="Calibri"/>
      <family val="2"/>
      <scheme val="minor"/>
    </font>
    <font>
      <sz val="11"/>
      <color rgb="FFC00000"/>
      <name val="Calibri"/>
      <family val="2"/>
      <scheme val="minor"/>
    </font>
    <font>
      <sz val="14"/>
      <name val="Arial"/>
      <family val="2"/>
    </font>
    <font>
      <sz val="14"/>
      <color rgb="FFC00000"/>
      <name val="Arial"/>
      <family val="2"/>
    </font>
    <font>
      <sz val="8"/>
      <name val="Arial"/>
      <family val="2"/>
    </font>
    <font>
      <b/>
      <sz val="12"/>
      <name val="Arial"/>
      <family val="2"/>
    </font>
    <font>
      <sz val="10"/>
      <color rgb="FFC00000"/>
      <name val="Arial"/>
      <family val="2"/>
    </font>
    <font>
      <b/>
      <sz val="9"/>
      <name val="Arial"/>
      <family val="2"/>
    </font>
    <font>
      <sz val="9"/>
      <color rgb="FFC00000"/>
      <name val="Arial"/>
      <family val="2"/>
    </font>
    <font>
      <b/>
      <sz val="9"/>
      <color rgb="FFC00000"/>
      <name val="Arial"/>
      <family val="2"/>
    </font>
    <font>
      <b/>
      <vertAlign val="superscript"/>
      <sz val="9"/>
      <name val="Arial"/>
      <family val="2"/>
    </font>
    <font>
      <vertAlign val="superscript"/>
      <sz val="10"/>
      <name val="Arial"/>
      <family val="2"/>
    </font>
    <font>
      <vertAlign val="superscript"/>
      <sz val="8"/>
      <name val="Arial"/>
      <family val="2"/>
    </font>
    <font>
      <sz val="11"/>
      <color indexed="8"/>
      <name val="Calibri"/>
      <family val="2"/>
    </font>
    <font>
      <sz val="8"/>
      <color rgb="FFC00000"/>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9"/>
      <name val="Arial"/>
      <family val="2"/>
    </font>
    <font>
      <b/>
      <sz val="12"/>
      <color indexed="8"/>
      <name val="Arial"/>
      <family val="2"/>
    </font>
    <font>
      <b/>
      <sz val="10"/>
      <color indexed="8"/>
      <name val="Arial"/>
      <family val="2"/>
    </font>
    <font>
      <b/>
      <vertAlign val="superscript"/>
      <sz val="10"/>
      <name val="Arial"/>
      <family val="2"/>
    </font>
  </fonts>
  <fills count="4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5"/>
        <bgColor indexed="64"/>
      </patternFill>
    </fill>
    <fill>
      <patternFill patternType="solid">
        <fgColor rgb="FFFF99CC"/>
        <bgColor indexed="64"/>
      </patternFill>
    </fill>
    <fill>
      <patternFill patternType="solid">
        <fgColor theme="9" tint="0.59999389629810485"/>
        <bgColor theme="9" tint="0.59999389629810485"/>
      </patternFill>
    </fill>
    <fill>
      <patternFill patternType="solid">
        <fgColor rgb="FFFFFFFF"/>
        <bgColor rgb="FFFFFFFF"/>
      </patternFill>
    </fill>
    <fill>
      <patternFill patternType="solid">
        <fgColor indexed="45"/>
      </patternFill>
    </fill>
    <fill>
      <patternFill patternType="solid">
        <fgColor indexed="47"/>
        <bgColor indexed="64"/>
      </patternFill>
    </fill>
    <fill>
      <patternFill patternType="solid">
        <fgColor indexed="47"/>
        <bgColor indexed="42"/>
      </patternFill>
    </fill>
    <fill>
      <patternFill patternType="solid">
        <fgColor rgb="FFFFCC99"/>
        <bgColor rgb="FFFFCC99"/>
      </patternFill>
    </fill>
    <fill>
      <patternFill patternType="solid">
        <fgColor indexed="47"/>
      </patternFill>
    </fill>
    <fill>
      <patternFill patternType="solid">
        <fgColor rgb="FFFFCC99"/>
        <bgColor indexed="64"/>
      </patternFill>
    </fill>
    <fill>
      <patternFill patternType="solid">
        <fgColor indexed="43"/>
        <bgColor indexed="64"/>
      </patternFill>
    </fill>
    <fill>
      <patternFill patternType="solid">
        <fgColor indexed="42"/>
      </patternFill>
    </fill>
    <fill>
      <patternFill patternType="solid">
        <fgColor indexed="15"/>
        <bgColor indexed="64"/>
      </patternFill>
    </fill>
    <fill>
      <patternFill patternType="solid">
        <fgColor rgb="FF00ABEA"/>
        <bgColor rgb="FF00ABEA"/>
      </patternFill>
    </fill>
    <fill>
      <patternFill patternType="solid">
        <fgColor rgb="FF00FFFF"/>
        <bgColor indexed="64"/>
      </patternFill>
    </fill>
    <fill>
      <patternFill patternType="solid">
        <fgColor indexed="44"/>
      </patternFill>
    </fill>
    <fill>
      <patternFill patternType="solid">
        <fgColor rgb="FF99CCFF"/>
        <bgColor rgb="FF99CCFF"/>
      </patternFill>
    </fill>
    <fill>
      <patternFill patternType="solid">
        <fgColor theme="0" tint="-0.14999847407452621"/>
        <bgColor theme="0" tint="-0.14999847407452621"/>
      </patternFill>
    </fill>
    <fill>
      <patternFill patternType="solid">
        <fgColor indexed="44"/>
        <bgColor indexed="42"/>
      </patternFill>
    </fill>
    <fill>
      <patternFill patternType="solid">
        <fgColor rgb="FF99CCFF"/>
        <bgColor indexed="64"/>
      </patternFill>
    </fill>
    <fill>
      <patternFill patternType="solid">
        <fgColor rgb="FFFF99CC"/>
        <bgColor rgb="FFFF99CC"/>
      </patternFill>
    </fill>
    <fill>
      <patternFill patternType="solid">
        <fgColor indexed="51"/>
      </patternFill>
    </fill>
    <fill>
      <patternFill patternType="solid">
        <fgColor rgb="FFFFCC00"/>
        <bgColor indexed="64"/>
      </patternFill>
    </fill>
    <fill>
      <patternFill patternType="solid">
        <fgColor rgb="FFFFFF99"/>
        <bgColor indexed="64"/>
      </patternFill>
    </fill>
    <fill>
      <patternFill patternType="solid">
        <fgColor indexed="43"/>
        <bgColor indexed="42"/>
      </patternFill>
    </fill>
    <fill>
      <patternFill patternType="solid">
        <fgColor rgb="FFCCFFCC"/>
        <bgColor indexed="64"/>
      </patternFill>
    </fill>
    <fill>
      <patternFill patternType="solid">
        <fgColor indexed="15"/>
        <bgColor indexed="42"/>
      </patternFill>
    </fill>
    <fill>
      <patternFill patternType="solid">
        <fgColor indexed="46"/>
      </patternFill>
    </fill>
    <fill>
      <patternFill patternType="solid">
        <fgColor rgb="FF99CCFF"/>
      </patternFill>
    </fill>
    <fill>
      <patternFill patternType="solid">
        <fgColor indexed="45"/>
        <bgColor indexed="42"/>
      </patternFill>
    </fill>
    <fill>
      <patternFill patternType="solid">
        <fgColor rgb="FFCCFFCC"/>
        <bgColor rgb="FFCCFFCC"/>
      </patternFill>
    </fill>
    <fill>
      <patternFill patternType="solid">
        <fgColor indexed="42"/>
        <bgColor indexed="42"/>
      </patternFill>
    </fill>
    <fill>
      <patternFill patternType="solid">
        <fgColor rgb="FFCC99FF"/>
        <bgColor indexed="64"/>
      </patternFill>
    </fill>
    <fill>
      <patternFill patternType="solid">
        <fgColor rgb="FFCC99FF"/>
        <bgColor rgb="FFCC99FF"/>
      </patternFill>
    </fill>
    <fill>
      <patternFill patternType="solid">
        <fgColor rgb="FFFFC8C8"/>
        <bgColor rgb="FFFFC8C8"/>
      </patternFill>
    </fill>
    <fill>
      <patternFill patternType="solid">
        <fgColor rgb="FFFFFF00"/>
        <bgColor indexed="64"/>
      </patternFill>
    </fill>
    <fill>
      <patternFill patternType="solid">
        <fgColor rgb="FF00B0F0"/>
        <bgColor indexed="64"/>
      </patternFill>
    </fill>
    <fill>
      <patternFill patternType="solid">
        <fgColor indexed="11"/>
      </patternFill>
    </fill>
  </fills>
  <borders count="6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right/>
      <top style="thin">
        <color auto="1"/>
      </top>
      <bottom style="double">
        <color auto="1"/>
      </bottom>
      <diagonal/>
    </border>
    <border>
      <left style="medium">
        <color auto="1"/>
      </left>
      <right/>
      <top/>
      <bottom/>
      <diagonal/>
    </border>
    <border>
      <left style="double">
        <color auto="1"/>
      </left>
      <right style="thin">
        <color auto="1"/>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65"/>
      </left>
      <right style="thin">
        <color indexed="64"/>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64"/>
      </left>
      <right/>
      <top style="thin">
        <color indexed="64"/>
      </top>
      <bottom/>
      <diagonal/>
    </border>
    <border>
      <left style="thin">
        <color indexed="8"/>
      </left>
      <right style="thin">
        <color indexed="8"/>
      </right>
      <top style="thin">
        <color indexed="65"/>
      </top>
      <bottom style="thin">
        <color indexed="64"/>
      </bottom>
      <diagonal/>
    </border>
    <border>
      <left style="thin">
        <color indexed="8"/>
      </left>
      <right/>
      <top style="thin">
        <color indexed="65"/>
      </top>
      <bottom style="thin">
        <color indexed="64"/>
      </bottom>
      <diagonal/>
    </border>
    <border>
      <left style="thin">
        <color indexed="64"/>
      </left>
      <right/>
      <top style="thin">
        <color indexed="8"/>
      </top>
      <bottom/>
      <diagonal/>
    </border>
    <border>
      <left style="thin">
        <color indexed="8"/>
      </left>
      <right/>
      <top/>
      <bottom/>
      <diagonal/>
    </border>
    <border>
      <left style="thin">
        <color indexed="64"/>
      </left>
      <right/>
      <top/>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right/>
      <top style="thin">
        <color indexed="65"/>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164" fontId="0" fillId="0" borderId="0"/>
    <xf numFmtId="37" fontId="2" fillId="7" borderId="12"/>
    <xf numFmtId="37" fontId="2" fillId="7" borderId="12">
      <protection locked="0"/>
    </xf>
    <xf numFmtId="37" fontId="2" fillId="0" borderId="12">
      <alignment horizontal="center" vertical="top"/>
      <protection locked="0"/>
    </xf>
    <xf numFmtId="9" fontId="9" fillId="5" borderId="12">
      <alignment horizontal="right"/>
    </xf>
    <xf numFmtId="9" fontId="9" fillId="6" borderId="12">
      <alignment horizontal="right"/>
    </xf>
    <xf numFmtId="38" fontId="9" fillId="5" borderId="12">
      <alignment horizontal="right"/>
    </xf>
    <xf numFmtId="38" fontId="9" fillId="6" borderId="12">
      <alignment horizontal="right"/>
    </xf>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43" fillId="47" borderId="0" applyNumberFormat="0" applyBorder="0" applyAlignment="0" applyProtection="0"/>
  </cellStyleXfs>
  <cellXfs count="522">
    <xf numFmtId="164" fontId="0" fillId="0" borderId="0" xfId="0"/>
    <xf numFmtId="49" fontId="4" fillId="20" borderId="0" xfId="0" applyNumberFormat="1" applyFont="1" applyFill="1" applyAlignment="1" applyProtection="1">
      <alignment horizontal="left"/>
      <protection locked="0"/>
    </xf>
    <xf numFmtId="49" fontId="2" fillId="20" borderId="0" xfId="0" applyNumberFormat="1" applyFont="1" applyFill="1" applyAlignment="1" applyProtection="1">
      <alignment horizontal="left"/>
      <protection locked="0"/>
    </xf>
    <xf numFmtId="49" fontId="2" fillId="20" borderId="0" xfId="0" applyNumberFormat="1" applyFont="1" applyFill="1" applyAlignment="1" applyProtection="1">
      <alignment horizontal="center"/>
      <protection locked="0"/>
    </xf>
    <xf numFmtId="1" fontId="8" fillId="19" borderId="0" xfId="0" applyNumberFormat="1" applyFont="1" applyFill="1" applyAlignment="1" applyProtection="1">
      <alignment horizontal="center"/>
      <protection locked="0"/>
    </xf>
    <xf numFmtId="164" fontId="8" fillId="18" borderId="0" xfId="0" applyFont="1" applyFill="1" applyAlignment="1" applyProtection="1">
      <alignment horizontal="left"/>
      <protection locked="0"/>
    </xf>
    <xf numFmtId="49" fontId="8" fillId="18" borderId="0" xfId="0" applyNumberFormat="1" applyFont="1" applyFill="1" applyAlignment="1" applyProtection="1">
      <alignment horizontal="left"/>
      <protection locked="0"/>
    </xf>
    <xf numFmtId="49" fontId="4" fillId="18" borderId="0" xfId="0" applyNumberFormat="1" applyFont="1" applyFill="1" applyAlignment="1" applyProtection="1">
      <alignment horizontal="left"/>
      <protection locked="0"/>
    </xf>
    <xf numFmtId="49" fontId="2" fillId="17" borderId="0" xfId="0" applyNumberFormat="1" applyFont="1" applyFill="1" applyAlignment="1" applyProtection="1">
      <alignment horizontal="left"/>
      <protection locked="0"/>
    </xf>
    <xf numFmtId="164" fontId="2" fillId="17" borderId="0" xfId="0" applyFont="1" applyFill="1" applyAlignment="1" applyProtection="1">
      <alignment horizontal="left"/>
      <protection locked="0"/>
    </xf>
    <xf numFmtId="1" fontId="17" fillId="16" borderId="0" xfId="0" applyNumberFormat="1" applyFont="1" applyFill="1" applyAlignment="1" applyProtection="1">
      <alignment horizontal="center"/>
      <protection locked="0"/>
    </xf>
    <xf numFmtId="49" fontId="18" fillId="15" borderId="0" xfId="0" applyNumberFormat="1" applyFont="1" applyFill="1" applyAlignment="1" applyProtection="1">
      <alignment horizontal="left"/>
      <protection locked="0"/>
    </xf>
    <xf numFmtId="49" fontId="17" fillId="15" borderId="0" xfId="0" applyNumberFormat="1" applyFont="1" applyFill="1" applyAlignment="1" applyProtection="1">
      <alignment horizontal="left"/>
      <protection locked="0"/>
    </xf>
    <xf numFmtId="1" fontId="17" fillId="15" borderId="0" xfId="0" applyNumberFormat="1" applyFont="1" applyFill="1" applyAlignment="1" applyProtection="1">
      <alignment horizontal="center"/>
      <protection locked="0"/>
    </xf>
    <xf numFmtId="49" fontId="17" fillId="15" borderId="0" xfId="0" applyNumberFormat="1" applyFont="1" applyFill="1" applyAlignment="1" applyProtection="1">
      <alignment horizontal="center"/>
      <protection locked="0"/>
    </xf>
    <xf numFmtId="1" fontId="4" fillId="15" borderId="0" xfId="0" applyNumberFormat="1" applyFont="1" applyFill="1" applyAlignment="1" applyProtection="1">
      <alignment horizontal="center"/>
      <protection locked="0"/>
    </xf>
    <xf numFmtId="49" fontId="8" fillId="15" borderId="0" xfId="0" applyNumberFormat="1" applyFont="1" applyFill="1" applyAlignment="1" applyProtection="1">
      <alignment horizontal="left"/>
      <protection locked="0"/>
    </xf>
    <xf numFmtId="1" fontId="2" fillId="15" borderId="0" xfId="0" applyNumberFormat="1" applyFont="1" applyFill="1" applyAlignment="1" applyProtection="1">
      <alignment horizontal="center"/>
      <protection locked="0"/>
    </xf>
    <xf numFmtId="49" fontId="4" fillId="15" borderId="0" xfId="0" applyNumberFormat="1" applyFont="1" applyFill="1" applyAlignment="1" applyProtection="1">
      <alignment horizontal="left"/>
      <protection locked="0"/>
    </xf>
    <xf numFmtId="49" fontId="2" fillId="15" borderId="0" xfId="0" applyNumberFormat="1" applyFont="1" applyFill="1" applyAlignment="1" applyProtection="1">
      <alignment horizontal="left"/>
      <protection locked="0"/>
    </xf>
    <xf numFmtId="49" fontId="2" fillId="15" borderId="5" xfId="0" applyNumberFormat="1" applyFont="1" applyFill="1" applyBorder="1" applyAlignment="1" applyProtection="1">
      <alignment horizontal="center"/>
      <protection locked="0"/>
    </xf>
    <xf numFmtId="1" fontId="8" fillId="14" borderId="0" xfId="0" applyNumberFormat="1" applyFont="1" applyFill="1" applyAlignment="1" applyProtection="1">
      <alignment horizontal="center"/>
      <protection locked="0"/>
    </xf>
    <xf numFmtId="3" fontId="8" fillId="14" borderId="0" xfId="0" applyNumberFormat="1" applyFont="1" applyFill="1" applyAlignment="1" applyProtection="1">
      <alignment horizontal="left"/>
      <protection locked="0"/>
    </xf>
    <xf numFmtId="3" fontId="4" fillId="14" borderId="0" xfId="0" applyNumberFormat="1" applyFont="1" applyFill="1" applyAlignment="1" applyProtection="1">
      <alignment horizontal="left"/>
      <protection locked="0"/>
    </xf>
    <xf numFmtId="49" fontId="4" fillId="14" borderId="0" xfId="0" applyNumberFormat="1" applyFont="1" applyFill="1" applyAlignment="1" applyProtection="1">
      <alignment horizontal="left"/>
      <protection locked="0"/>
    </xf>
    <xf numFmtId="164" fontId="4" fillId="0" borderId="7" xfId="0" applyFont="1" applyBorder="1" applyAlignment="1">
      <alignment horizontal="center" wrapText="1"/>
    </xf>
    <xf numFmtId="164" fontId="4" fillId="0" borderId="12" xfId="0" applyFont="1" applyBorder="1" applyAlignment="1">
      <alignment horizontal="centerContinuous" wrapText="1"/>
    </xf>
    <xf numFmtId="164" fontId="4" fillId="0" borderId="9" xfId="0" applyFont="1" applyBorder="1" applyAlignment="1">
      <alignment horizontal="center" wrapText="1"/>
    </xf>
    <xf numFmtId="164" fontId="5" fillId="0" borderId="8" xfId="0" applyFont="1" applyBorder="1" applyAlignment="1">
      <alignment horizontal="centerContinuous" wrapText="1"/>
    </xf>
    <xf numFmtId="164" fontId="11" fillId="0" borderId="8" xfId="0" applyFont="1" applyBorder="1" applyAlignment="1">
      <alignment horizontal="centerContinuous" wrapText="1"/>
    </xf>
    <xf numFmtId="164" fontId="11" fillId="0" borderId="7" xfId="0" applyFont="1" applyBorder="1" applyAlignment="1">
      <alignment horizontal="centerContinuous" wrapText="1"/>
    </xf>
    <xf numFmtId="164" fontId="5" fillId="0" borderId="4" xfId="0" applyFont="1" applyBorder="1" applyAlignment="1">
      <alignment horizontal="centerContinuous" wrapText="1"/>
    </xf>
    <xf numFmtId="164" fontId="5" fillId="0" borderId="9" xfId="0" applyFont="1" applyBorder="1" applyAlignment="1">
      <alignment horizontal="centerContinuous" wrapText="1"/>
    </xf>
    <xf numFmtId="164" fontId="2" fillId="0" borderId="13" xfId="0" applyFont="1" applyBorder="1"/>
    <xf numFmtId="164" fontId="4" fillId="0" borderId="7" xfId="0" applyFont="1" applyBorder="1" applyAlignment="1">
      <alignment horizontal="centerContinuous" wrapText="1"/>
    </xf>
    <xf numFmtId="164" fontId="5" fillId="0" borderId="6" xfId="0" applyFont="1" applyBorder="1" applyAlignment="1">
      <alignment horizontal="centerContinuous"/>
    </xf>
    <xf numFmtId="164" fontId="2" fillId="0" borderId="5" xfId="0" applyFont="1" applyBorder="1"/>
    <xf numFmtId="164" fontId="2" fillId="0" borderId="2" xfId="0" applyFont="1" applyBorder="1" applyAlignment="1">
      <alignment horizontal="centerContinuous"/>
    </xf>
    <xf numFmtId="164" fontId="7" fillId="0" borderId="3" xfId="0" applyFont="1" applyBorder="1" applyAlignment="1">
      <alignment horizontal="centerContinuous"/>
    </xf>
    <xf numFmtId="164" fontId="6" fillId="0" borderId="2" xfId="0" applyFont="1" applyBorder="1" applyAlignment="1">
      <alignment horizontal="centerContinuous"/>
    </xf>
    <xf numFmtId="164" fontId="5" fillId="0" borderId="2" xfId="0" applyFont="1" applyBorder="1" applyAlignment="1">
      <alignment horizontal="centerContinuous"/>
    </xf>
    <xf numFmtId="164" fontId="6" fillId="0" borderId="1" xfId="0" applyFont="1" applyBorder="1" applyAlignment="1">
      <alignment horizontal="centerContinuous"/>
    </xf>
    <xf numFmtId="164" fontId="6" fillId="0" borderId="8" xfId="0" applyFont="1" applyBorder="1" applyAlignment="1">
      <alignment horizontal="centerContinuous"/>
    </xf>
    <xf numFmtId="164" fontId="5" fillId="0" borderId="12" xfId="0" applyFont="1" applyBorder="1" applyAlignment="1">
      <alignment horizontal="center" wrapText="1"/>
    </xf>
    <xf numFmtId="0" fontId="0" fillId="0" borderId="0" xfId="0" applyNumberFormat="1"/>
    <xf numFmtId="164" fontId="2" fillId="0" borderId="0" xfId="0" applyFont="1"/>
    <xf numFmtId="0" fontId="12" fillId="4" borderId="15" xfId="0" applyNumberFormat="1" applyFont="1" applyFill="1" applyBorder="1" applyAlignment="1">
      <alignment horizontal="left"/>
    </xf>
    <xf numFmtId="164" fontId="2" fillId="0" borderId="0" xfId="0" applyFont="1" applyAlignment="1">
      <alignment horizontal="centerContinuous"/>
    </xf>
    <xf numFmtId="49" fontId="2" fillId="8" borderId="0" xfId="0" applyNumberFormat="1" applyFont="1" applyFill="1" applyAlignment="1" applyProtection="1">
      <alignment horizontal="center"/>
      <protection locked="0"/>
    </xf>
    <xf numFmtId="49" fontId="2" fillId="8" borderId="0" xfId="0" applyNumberFormat="1" applyFont="1" applyFill="1" applyAlignment="1" applyProtection="1">
      <alignment horizontal="left"/>
      <protection locked="0"/>
    </xf>
    <xf numFmtId="1" fontId="2" fillId="8" borderId="0" xfId="0" applyNumberFormat="1" applyFont="1" applyFill="1" applyAlignment="1" applyProtection="1">
      <alignment horizontal="center"/>
      <protection locked="0"/>
    </xf>
    <xf numFmtId="3" fontId="9" fillId="5" borderId="17" xfId="0" applyNumberFormat="1" applyFont="1" applyFill="1" applyBorder="1"/>
    <xf numFmtId="3" fontId="11" fillId="6" borderId="5" xfId="0" applyNumberFormat="1" applyFont="1" applyFill="1" applyBorder="1"/>
    <xf numFmtId="3" fontId="9" fillId="5" borderId="18" xfId="0" applyNumberFormat="1" applyFont="1" applyFill="1" applyBorder="1"/>
    <xf numFmtId="3" fontId="11" fillId="6" borderId="10" xfId="0" applyNumberFormat="1" applyFont="1" applyFill="1" applyBorder="1"/>
    <xf numFmtId="165" fontId="4" fillId="0" borderId="0" xfId="0" applyNumberFormat="1" applyFont="1" applyAlignment="1">
      <alignment horizontal="left" vertical="top"/>
    </xf>
    <xf numFmtId="164" fontId="4" fillId="0" borderId="0" xfId="0" applyFont="1" applyAlignment="1">
      <alignment horizontal="left" vertical="top"/>
    </xf>
    <xf numFmtId="3" fontId="5" fillId="2" borderId="3" xfId="0" applyNumberFormat="1" applyFont="1" applyFill="1" applyBorder="1" applyAlignment="1">
      <alignment horizontal="centerContinuous"/>
    </xf>
    <xf numFmtId="3" fontId="3" fillId="2" borderId="4" xfId="0" applyNumberFormat="1" applyFont="1" applyFill="1" applyBorder="1" applyAlignment="1">
      <alignment horizontal="centerContinuous"/>
    </xf>
    <xf numFmtId="49" fontId="4" fillId="9" borderId="5" xfId="0" applyNumberFormat="1" applyFont="1" applyFill="1" applyBorder="1" applyAlignment="1">
      <alignment horizontal="left" vertical="top"/>
    </xf>
    <xf numFmtId="49" fontId="4" fillId="9" borderId="0" xfId="0" applyNumberFormat="1" applyFont="1" applyFill="1" applyAlignment="1">
      <alignment horizontal="left" vertical="top"/>
    </xf>
    <xf numFmtId="49" fontId="10" fillId="4" borderId="14" xfId="0" applyNumberFormat="1" applyFont="1" applyFill="1" applyBorder="1" applyAlignment="1">
      <alignment horizontal="center"/>
    </xf>
    <xf numFmtId="49" fontId="10" fillId="4" borderId="15" xfId="0" applyNumberFormat="1" applyFont="1" applyFill="1" applyBorder="1" applyAlignment="1">
      <alignment horizontal="left"/>
    </xf>
    <xf numFmtId="0" fontId="10" fillId="4" borderId="15" xfId="0" applyNumberFormat="1" applyFont="1" applyFill="1" applyBorder="1" applyAlignment="1">
      <alignment horizontal="left" wrapText="1"/>
    </xf>
    <xf numFmtId="1" fontId="10" fillId="4" borderId="15" xfId="0" applyNumberFormat="1" applyFont="1" applyFill="1" applyBorder="1" applyAlignment="1">
      <alignment horizontal="center"/>
    </xf>
    <xf numFmtId="1" fontId="10" fillId="4" borderId="16" xfId="0" applyNumberFormat="1" applyFont="1" applyFill="1" applyBorder="1" applyAlignment="1">
      <alignment horizontal="center"/>
    </xf>
    <xf numFmtId="164" fontId="11" fillId="5" borderId="9" xfId="0" applyFont="1" applyFill="1" applyBorder="1" applyAlignment="1">
      <alignment horizontal="center" wrapText="1"/>
    </xf>
    <xf numFmtId="164" fontId="11" fillId="6" borderId="7" xfId="0" applyFont="1" applyFill="1" applyBorder="1" applyAlignment="1">
      <alignment horizontal="center" wrapText="1"/>
    </xf>
    <xf numFmtId="164" fontId="4" fillId="7" borderId="12" xfId="0" applyFont="1" applyFill="1" applyBorder="1" applyAlignment="1">
      <alignment horizontal="center" wrapText="1"/>
    </xf>
    <xf numFmtId="164" fontId="4" fillId="7" borderId="9" xfId="0" applyFont="1" applyFill="1" applyBorder="1" applyAlignment="1">
      <alignment horizontal="center" wrapText="1"/>
    </xf>
    <xf numFmtId="49" fontId="2" fillId="3" borderId="0" xfId="0" applyNumberFormat="1" applyFont="1" applyFill="1" applyAlignment="1">
      <alignment horizontal="center"/>
    </xf>
    <xf numFmtId="49" fontId="2" fillId="3" borderId="0" xfId="0" applyNumberFormat="1" applyFont="1" applyFill="1" applyAlignment="1">
      <alignment horizontal="left"/>
    </xf>
    <xf numFmtId="164" fontId="2" fillId="3" borderId="0" xfId="0" applyFont="1" applyFill="1" applyAlignment="1">
      <alignment horizontal="center" wrapText="1"/>
    </xf>
    <xf numFmtId="164" fontId="2" fillId="3" borderId="11" xfId="0" applyFont="1" applyFill="1" applyBorder="1" applyAlignment="1">
      <alignment horizontal="center" wrapText="1"/>
    </xf>
    <xf numFmtId="49" fontId="17" fillId="10" borderId="0" xfId="0" applyNumberFormat="1" applyFont="1" applyFill="1" applyAlignment="1" applyProtection="1">
      <alignment horizontal="center"/>
      <protection locked="0"/>
    </xf>
    <xf numFmtId="49" fontId="17" fillId="10" borderId="0" xfId="0" applyNumberFormat="1" applyFont="1" applyFill="1" applyAlignment="1" applyProtection="1">
      <alignment horizontal="left"/>
      <protection locked="0"/>
    </xf>
    <xf numFmtId="49" fontId="18" fillId="10" borderId="0" xfId="0" applyNumberFormat="1" applyFont="1" applyFill="1" applyAlignment="1" applyProtection="1">
      <alignment horizontal="left"/>
      <protection locked="0"/>
    </xf>
    <xf numFmtId="1" fontId="17" fillId="10" borderId="0" xfId="0" applyNumberFormat="1" applyFont="1" applyFill="1" applyAlignment="1" applyProtection="1">
      <alignment horizontal="center"/>
      <protection locked="0"/>
    </xf>
    <xf numFmtId="38" fontId="9" fillId="5" borderId="12" xfId="0" applyNumberFormat="1" applyFont="1" applyFill="1" applyBorder="1" applyAlignment="1">
      <alignment horizontal="right"/>
    </xf>
    <xf numFmtId="38" fontId="9" fillId="6" borderId="12" xfId="0" applyNumberFormat="1" applyFont="1" applyFill="1" applyBorder="1" applyAlignment="1">
      <alignment horizontal="right"/>
    </xf>
    <xf numFmtId="37" fontId="2" fillId="12" borderId="12" xfId="0" applyNumberFormat="1" applyFont="1" applyFill="1" applyBorder="1" applyProtection="1">
      <protection locked="0"/>
    </xf>
    <xf numFmtId="37" fontId="2" fillId="13" borderId="12" xfId="0" applyNumberFormat="1" applyFont="1" applyFill="1" applyBorder="1" applyAlignment="1" applyProtection="1">
      <alignment horizontal="center" vertical="top"/>
      <protection locked="0"/>
    </xf>
    <xf numFmtId="49" fontId="4" fillId="11" borderId="0" xfId="0" applyNumberFormat="1" applyFont="1" applyFill="1" applyAlignment="1" applyProtection="1">
      <alignment horizontal="left"/>
      <protection locked="0"/>
    </xf>
    <xf numFmtId="49" fontId="8" fillId="11" borderId="0" xfId="0" applyNumberFormat="1" applyFont="1" applyFill="1" applyAlignment="1" applyProtection="1">
      <alignment horizontal="left"/>
      <protection locked="0"/>
    </xf>
    <xf numFmtId="1" fontId="8" fillId="10" borderId="0" xfId="0" applyNumberFormat="1" applyFont="1" applyFill="1" applyAlignment="1" applyProtection="1">
      <alignment horizontal="center"/>
      <protection locked="0"/>
    </xf>
    <xf numFmtId="3" fontId="2" fillId="10" borderId="0" xfId="0" applyNumberFormat="1" applyFont="1" applyFill="1" applyAlignment="1" applyProtection="1">
      <alignment horizontal="left"/>
      <protection locked="0"/>
    </xf>
    <xf numFmtId="1" fontId="2" fillId="10" borderId="0" xfId="0" applyNumberFormat="1" applyFont="1" applyFill="1" applyAlignment="1" applyProtection="1">
      <alignment horizontal="center"/>
      <protection locked="0"/>
    </xf>
    <xf numFmtId="164" fontId="2" fillId="0" borderId="0" xfId="0"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left"/>
    </xf>
    <xf numFmtId="164" fontId="5" fillId="0" borderId="0" xfId="0" applyFont="1"/>
    <xf numFmtId="164" fontId="6" fillId="0" borderId="0" xfId="0" applyFont="1"/>
    <xf numFmtId="164" fontId="4" fillId="0" borderId="0" xfId="0" applyFont="1"/>
    <xf numFmtId="1" fontId="2" fillId="20" borderId="0" xfId="0" applyNumberFormat="1" applyFont="1" applyFill="1" applyAlignment="1" applyProtection="1">
      <alignment horizontal="center"/>
      <protection locked="0"/>
    </xf>
    <xf numFmtId="49" fontId="2" fillId="20" borderId="5" xfId="0" applyNumberFormat="1" applyFont="1" applyFill="1" applyBorder="1" applyAlignment="1" applyProtection="1">
      <alignment horizontal="center"/>
      <protection locked="0"/>
    </xf>
    <xf numFmtId="49" fontId="8" fillId="20" borderId="0" xfId="0" applyNumberFormat="1" applyFont="1" applyFill="1" applyAlignment="1" applyProtection="1">
      <alignment horizontal="left"/>
      <protection locked="0"/>
    </xf>
    <xf numFmtId="0" fontId="2" fillId="20" borderId="0" xfId="0" applyNumberFormat="1" applyFont="1" applyFill="1" applyAlignment="1" applyProtection="1">
      <alignment horizontal="left"/>
      <protection locked="0"/>
    </xf>
    <xf numFmtId="0" fontId="4" fillId="20" borderId="0" xfId="0" applyNumberFormat="1" applyFont="1" applyFill="1" applyAlignment="1" applyProtection="1">
      <alignment horizontal="left"/>
      <protection locked="0"/>
    </xf>
    <xf numFmtId="49" fontId="2" fillId="21" borderId="5" xfId="0" applyNumberFormat="1" applyFont="1" applyFill="1" applyBorder="1" applyAlignment="1" applyProtection="1">
      <alignment horizontal="center"/>
      <protection locked="0"/>
    </xf>
    <xf numFmtId="49" fontId="2" fillId="21" borderId="0" xfId="0" applyNumberFormat="1" applyFont="1" applyFill="1" applyAlignment="1" applyProtection="1">
      <alignment horizontal="left"/>
      <protection locked="0"/>
    </xf>
    <xf numFmtId="49" fontId="4" fillId="21" borderId="0" xfId="0" applyNumberFormat="1" applyFont="1" applyFill="1" applyAlignment="1" applyProtection="1">
      <alignment horizontal="left"/>
      <protection locked="0"/>
    </xf>
    <xf numFmtId="1" fontId="2" fillId="21" borderId="0" xfId="0" applyNumberFormat="1" applyFont="1" applyFill="1" applyAlignment="1" applyProtection="1">
      <alignment horizontal="center"/>
      <protection locked="0"/>
    </xf>
    <xf numFmtId="49" fontId="2" fillId="22" borderId="0" xfId="0" applyNumberFormat="1" applyFont="1" applyFill="1" applyAlignment="1" applyProtection="1">
      <alignment horizontal="center"/>
      <protection locked="0"/>
    </xf>
    <xf numFmtId="49" fontId="2" fillId="22" borderId="0" xfId="0" applyNumberFormat="1" applyFont="1" applyFill="1" applyAlignment="1" applyProtection="1">
      <alignment horizontal="left"/>
      <protection locked="0"/>
    </xf>
    <xf numFmtId="49" fontId="4" fillId="22" borderId="0" xfId="0" applyNumberFormat="1" applyFont="1" applyFill="1" applyAlignment="1" applyProtection="1">
      <alignment horizontal="left"/>
      <protection locked="0"/>
    </xf>
    <xf numFmtId="1" fontId="2" fillId="22" borderId="0" xfId="0" applyNumberFormat="1" applyFont="1" applyFill="1" applyAlignment="1" applyProtection="1">
      <alignment horizontal="center"/>
      <protection locked="0"/>
    </xf>
    <xf numFmtId="3" fontId="2" fillId="13" borderId="9" xfId="0" applyNumberFormat="1" applyFont="1" applyFill="1" applyBorder="1" applyAlignment="1" applyProtection="1">
      <alignment horizontal="right" wrapText="1"/>
      <protection locked="0"/>
    </xf>
    <xf numFmtId="3" fontId="8" fillId="22" borderId="0" xfId="0" applyNumberFormat="1" applyFont="1" applyFill="1" applyAlignment="1" applyProtection="1">
      <alignment horizontal="left"/>
      <protection locked="0"/>
    </xf>
    <xf numFmtId="49" fontId="8" fillId="22" borderId="0" xfId="0" applyNumberFormat="1" applyFont="1" applyFill="1" applyAlignment="1" applyProtection="1">
      <alignment horizontal="left"/>
      <protection locked="0"/>
    </xf>
    <xf numFmtId="49" fontId="2" fillId="23" borderId="0" xfId="0" applyNumberFormat="1" applyFont="1" applyFill="1" applyAlignment="1" applyProtection="1">
      <alignment horizontal="left"/>
      <protection locked="0"/>
    </xf>
    <xf numFmtId="49" fontId="23" fillId="22" borderId="0" xfId="0" applyNumberFormat="1" applyFont="1" applyFill="1" applyAlignment="1" applyProtection="1">
      <alignment horizontal="left"/>
      <protection locked="0"/>
    </xf>
    <xf numFmtId="1" fontId="8" fillId="24" borderId="0" xfId="0" applyNumberFormat="1" applyFont="1" applyFill="1" applyAlignment="1" applyProtection="1">
      <alignment horizontal="center"/>
      <protection locked="0"/>
    </xf>
    <xf numFmtId="1" fontId="2" fillId="24" borderId="0" xfId="0" applyNumberFormat="1" applyFont="1" applyFill="1" applyAlignment="1" applyProtection="1">
      <alignment horizontal="center"/>
      <protection locked="0"/>
    </xf>
    <xf numFmtId="49" fontId="2" fillId="25" borderId="5" xfId="0" applyNumberFormat="1" applyFont="1" applyFill="1" applyBorder="1" applyAlignment="1" applyProtection="1">
      <alignment horizontal="center"/>
      <protection locked="0"/>
    </xf>
    <xf numFmtId="49" fontId="2" fillId="26" borderId="0" xfId="0" applyNumberFormat="1" applyFont="1" applyFill="1" applyAlignment="1" applyProtection="1">
      <alignment horizontal="left"/>
      <protection locked="0"/>
    </xf>
    <xf numFmtId="49" fontId="4" fillId="25" borderId="0" xfId="0" applyNumberFormat="1" applyFont="1" applyFill="1" applyAlignment="1" applyProtection="1">
      <alignment horizontal="left"/>
      <protection locked="0"/>
    </xf>
    <xf numFmtId="49" fontId="2" fillId="25" borderId="0" xfId="0" applyNumberFormat="1" applyFont="1" applyFill="1" applyAlignment="1" applyProtection="1">
      <alignment horizontal="center"/>
      <protection locked="0"/>
    </xf>
    <xf numFmtId="1" fontId="2" fillId="25" borderId="0" xfId="0" applyNumberFormat="1" applyFont="1" applyFill="1" applyAlignment="1" applyProtection="1">
      <alignment horizontal="center"/>
      <protection locked="0"/>
    </xf>
    <xf numFmtId="3" fontId="24" fillId="13" borderId="0" xfId="0" applyNumberFormat="1" applyFont="1" applyFill="1" applyAlignment="1" applyProtection="1">
      <alignment horizontal="right"/>
      <protection locked="0"/>
    </xf>
    <xf numFmtId="38" fontId="2" fillId="27" borderId="12" xfId="0" applyNumberFormat="1" applyFont="1" applyFill="1" applyBorder="1" applyAlignment="1" applyProtection="1">
      <alignment horizontal="right"/>
      <protection locked="0"/>
    </xf>
    <xf numFmtId="49" fontId="2" fillId="25" borderId="0" xfId="0" applyNumberFormat="1" applyFont="1" applyFill="1" applyAlignment="1" applyProtection="1">
      <alignment horizontal="left"/>
      <protection locked="0"/>
    </xf>
    <xf numFmtId="49" fontId="8" fillId="25" borderId="0" xfId="0" applyNumberFormat="1" applyFont="1" applyFill="1" applyAlignment="1" applyProtection="1">
      <alignment horizontal="left"/>
      <protection locked="0"/>
    </xf>
    <xf numFmtId="4" fontId="24" fillId="13" borderId="0" xfId="0" applyNumberFormat="1" applyFont="1" applyFill="1" applyAlignment="1" applyProtection="1">
      <alignment horizontal="right"/>
      <protection locked="0"/>
    </xf>
    <xf numFmtId="0" fontId="2" fillId="25" borderId="0" xfId="0" applyNumberFormat="1" applyFont="1" applyFill="1" applyAlignment="1" applyProtection="1">
      <alignment horizontal="center"/>
      <protection locked="0"/>
    </xf>
    <xf numFmtId="1" fontId="8" fillId="25" borderId="0" xfId="0" applyNumberFormat="1" applyFont="1" applyFill="1" applyAlignment="1" applyProtection="1">
      <alignment horizontal="center"/>
      <protection locked="0"/>
    </xf>
    <xf numFmtId="164" fontId="25" fillId="13" borderId="0" xfId="0" applyFont="1" applyFill="1" applyProtection="1">
      <protection locked="0"/>
    </xf>
    <xf numFmtId="1" fontId="2" fillId="28" borderId="0" xfId="0" applyNumberFormat="1" applyFont="1" applyFill="1" applyAlignment="1" applyProtection="1">
      <alignment horizontal="center"/>
      <protection locked="0"/>
    </xf>
    <xf numFmtId="164" fontId="24" fillId="13" borderId="0" xfId="0" applyFont="1" applyFill="1" applyProtection="1">
      <protection locked="0"/>
    </xf>
    <xf numFmtId="1" fontId="8" fillId="29" borderId="0" xfId="0" applyNumberFormat="1" applyFont="1" applyFill="1" applyAlignment="1" applyProtection="1">
      <alignment horizontal="center"/>
      <protection locked="0"/>
    </xf>
    <xf numFmtId="49" fontId="2" fillId="10" borderId="5" xfId="0" applyNumberFormat="1" applyFont="1" applyFill="1" applyBorder="1" applyAlignment="1" applyProtection="1">
      <alignment horizontal="center"/>
      <protection locked="0"/>
    </xf>
    <xf numFmtId="49" fontId="2" fillId="10" borderId="0" xfId="0" applyNumberFormat="1" applyFont="1" applyFill="1" applyAlignment="1" applyProtection="1">
      <alignment horizontal="left"/>
      <protection locked="0"/>
    </xf>
    <xf numFmtId="49" fontId="2" fillId="30" borderId="0" xfId="0" applyNumberFormat="1" applyFont="1" applyFill="1" applyAlignment="1" applyProtection="1">
      <alignment horizontal="left"/>
      <protection locked="0"/>
    </xf>
    <xf numFmtId="1" fontId="2" fillId="30" borderId="0" xfId="0" applyNumberFormat="1" applyFont="1" applyFill="1" applyAlignment="1" applyProtection="1">
      <alignment horizontal="center"/>
      <protection locked="0"/>
    </xf>
    <xf numFmtId="49" fontId="2" fillId="10" borderId="0" xfId="0" applyNumberFormat="1" applyFont="1" applyFill="1" applyAlignment="1" applyProtection="1">
      <alignment horizontal="center"/>
      <protection locked="0"/>
    </xf>
    <xf numFmtId="49" fontId="2" fillId="11" borderId="0" xfId="0" applyNumberFormat="1" applyFont="1" applyFill="1" applyAlignment="1" applyProtection="1">
      <alignment horizontal="left"/>
      <protection locked="0"/>
    </xf>
    <xf numFmtId="49" fontId="2" fillId="15" borderId="0" xfId="0" applyNumberFormat="1" applyFont="1" applyFill="1" applyAlignment="1" applyProtection="1">
      <alignment horizontal="center"/>
      <protection locked="0"/>
    </xf>
    <xf numFmtId="1" fontId="2" fillId="16" borderId="0" xfId="0" applyNumberFormat="1" applyFont="1" applyFill="1" applyAlignment="1" applyProtection="1">
      <alignment horizontal="center"/>
      <protection locked="0"/>
    </xf>
    <xf numFmtId="1" fontId="2" fillId="19" borderId="0" xfId="0" applyNumberFormat="1" applyFont="1" applyFill="1" applyAlignment="1" applyProtection="1">
      <alignment horizontal="center"/>
      <protection locked="0"/>
    </xf>
    <xf numFmtId="49" fontId="2" fillId="31" borderId="5" xfId="0" applyNumberFormat="1" applyFont="1" applyFill="1" applyBorder="1" applyAlignment="1" applyProtection="1">
      <alignment horizontal="center"/>
      <protection locked="0"/>
    </xf>
    <xf numFmtId="49" fontId="2" fillId="31" borderId="0" xfId="0" applyNumberFormat="1" applyFont="1" applyFill="1" applyAlignment="1" applyProtection="1">
      <alignment horizontal="left"/>
      <protection locked="0"/>
    </xf>
    <xf numFmtId="49" fontId="4" fillId="31" borderId="0" xfId="0" applyNumberFormat="1" applyFont="1" applyFill="1" applyAlignment="1" applyProtection="1">
      <alignment horizontal="left"/>
      <protection locked="0"/>
    </xf>
    <xf numFmtId="1" fontId="2" fillId="31" borderId="0" xfId="0" applyNumberFormat="1" applyFont="1" applyFill="1" applyAlignment="1" applyProtection="1">
      <alignment horizontal="center"/>
      <protection locked="0"/>
    </xf>
    <xf numFmtId="165" fontId="2" fillId="13" borderId="0" xfId="0" applyNumberFormat="1" applyFont="1" applyFill="1" applyProtection="1">
      <protection locked="0"/>
    </xf>
    <xf numFmtId="165" fontId="2" fillId="13" borderId="12" xfId="0" applyNumberFormat="1" applyFont="1" applyFill="1" applyBorder="1" applyAlignment="1" applyProtection="1">
      <alignment horizontal="center" vertical="top"/>
      <protection locked="0"/>
    </xf>
    <xf numFmtId="49" fontId="2" fillId="31" borderId="0" xfId="0" applyNumberFormat="1" applyFont="1" applyFill="1" applyAlignment="1" applyProtection="1">
      <alignment horizontal="center"/>
      <protection locked="0"/>
    </xf>
    <xf numFmtId="49" fontId="8" fillId="31" borderId="0" xfId="0" applyNumberFormat="1" applyFont="1" applyFill="1" applyAlignment="1" applyProtection="1">
      <alignment horizontal="left"/>
      <protection locked="0"/>
    </xf>
    <xf numFmtId="1" fontId="4" fillId="31" borderId="0" xfId="0" applyNumberFormat="1" applyFont="1" applyFill="1" applyAlignment="1" applyProtection="1">
      <alignment horizontal="center"/>
      <protection locked="0"/>
    </xf>
    <xf numFmtId="3" fontId="2" fillId="31" borderId="0" xfId="0" applyNumberFormat="1" applyFont="1" applyFill="1" applyAlignment="1" applyProtection="1">
      <alignment horizontal="left"/>
      <protection locked="0"/>
    </xf>
    <xf numFmtId="3" fontId="4" fillId="31" borderId="0" xfId="0" applyNumberFormat="1" applyFont="1" applyFill="1" applyAlignment="1" applyProtection="1">
      <alignment horizontal="left"/>
      <protection locked="0"/>
    </xf>
    <xf numFmtId="3" fontId="2" fillId="31" borderId="0" xfId="0" applyNumberFormat="1" applyFont="1" applyFill="1" applyAlignment="1" applyProtection="1">
      <alignment horizontal="center"/>
      <protection locked="0"/>
    </xf>
    <xf numFmtId="1" fontId="2" fillId="32" borderId="0" xfId="0" applyNumberFormat="1" applyFont="1" applyFill="1" applyAlignment="1" applyProtection="1">
      <alignment horizontal="center"/>
      <protection locked="0"/>
    </xf>
    <xf numFmtId="49" fontId="2" fillId="32" borderId="0" xfId="0" applyNumberFormat="1" applyFont="1" applyFill="1" applyAlignment="1" applyProtection="1">
      <alignment horizontal="left"/>
      <protection locked="0"/>
    </xf>
    <xf numFmtId="49" fontId="4" fillId="32" borderId="0" xfId="0" applyNumberFormat="1" applyFont="1" applyFill="1" applyAlignment="1" applyProtection="1">
      <alignment horizontal="left"/>
      <protection locked="0"/>
    </xf>
    <xf numFmtId="1" fontId="8" fillId="31" borderId="0" xfId="0" applyNumberFormat="1" applyFont="1" applyFill="1" applyAlignment="1" applyProtection="1">
      <alignment horizontal="center"/>
      <protection locked="0"/>
    </xf>
    <xf numFmtId="164" fontId="0" fillId="13" borderId="0" xfId="0" applyFill="1" applyProtection="1">
      <protection locked="0"/>
    </xf>
    <xf numFmtId="49" fontId="23" fillId="20" borderId="0" xfId="0" applyNumberFormat="1" applyFont="1" applyFill="1" applyAlignment="1" applyProtection="1">
      <alignment horizontal="left"/>
      <protection locked="0"/>
    </xf>
    <xf numFmtId="164" fontId="26" fillId="33" borderId="0" xfId="0" applyFont="1" applyFill="1" applyAlignment="1" applyProtection="1">
      <alignment horizontal="left"/>
      <protection locked="0"/>
    </xf>
    <xf numFmtId="1" fontId="2" fillId="34" borderId="0" xfId="0" applyNumberFormat="1" applyFont="1" applyFill="1" applyAlignment="1" applyProtection="1">
      <alignment horizontal="center"/>
      <protection locked="0"/>
    </xf>
    <xf numFmtId="164" fontId="2" fillId="20" borderId="0" xfId="0" applyFont="1" applyFill="1" applyAlignment="1" applyProtection="1">
      <alignment horizontal="left"/>
      <protection locked="0"/>
    </xf>
    <xf numFmtId="49" fontId="2" fillId="21" borderId="0" xfId="0" applyNumberFormat="1" applyFont="1" applyFill="1" applyAlignment="1" applyProtection="1">
      <alignment horizontal="center"/>
      <protection locked="0"/>
    </xf>
    <xf numFmtId="164" fontId="26" fillId="35" borderId="0" xfId="0" applyFont="1" applyFill="1" applyAlignment="1" applyProtection="1">
      <alignment horizontal="left"/>
      <protection locked="0"/>
    </xf>
    <xf numFmtId="49" fontId="2" fillId="22" borderId="5" xfId="0" applyNumberFormat="1" applyFont="1" applyFill="1" applyBorder="1" applyAlignment="1" applyProtection="1">
      <alignment horizontal="center"/>
      <protection locked="0"/>
    </xf>
    <xf numFmtId="0" fontId="2" fillId="22" borderId="0" xfId="0" applyNumberFormat="1" applyFont="1" applyFill="1" applyAlignment="1" applyProtection="1">
      <alignment horizontal="center"/>
      <protection locked="0"/>
    </xf>
    <xf numFmtId="1" fontId="2" fillId="36" borderId="0" xfId="0" applyNumberFormat="1" applyFont="1" applyFill="1" applyAlignment="1" applyProtection="1">
      <alignment horizontal="center"/>
      <protection locked="0"/>
    </xf>
    <xf numFmtId="49" fontId="2" fillId="37" borderId="5" xfId="0" applyNumberFormat="1" applyFont="1" applyFill="1" applyBorder="1" applyAlignment="1" applyProtection="1">
      <alignment horizontal="center"/>
      <protection locked="0"/>
    </xf>
    <xf numFmtId="49" fontId="2" fillId="37" borderId="0" xfId="0" applyNumberFormat="1" applyFont="1" applyFill="1" applyAlignment="1" applyProtection="1">
      <alignment horizontal="left"/>
      <protection locked="0"/>
    </xf>
    <xf numFmtId="49" fontId="4" fillId="37" borderId="0" xfId="0" applyNumberFormat="1" applyFont="1" applyFill="1" applyAlignment="1" applyProtection="1">
      <alignment horizontal="left"/>
      <protection locked="0"/>
    </xf>
    <xf numFmtId="1" fontId="2" fillId="37" borderId="0" xfId="0" applyNumberFormat="1" applyFont="1" applyFill="1" applyAlignment="1" applyProtection="1">
      <alignment horizontal="center"/>
      <protection locked="0"/>
    </xf>
    <xf numFmtId="49" fontId="8" fillId="37" borderId="0" xfId="0" applyNumberFormat="1" applyFont="1" applyFill="1" applyAlignment="1" applyProtection="1">
      <alignment horizontal="left"/>
      <protection locked="0"/>
    </xf>
    <xf numFmtId="1" fontId="4" fillId="37" borderId="0" xfId="0" applyNumberFormat="1" applyFont="1" applyFill="1" applyAlignment="1" applyProtection="1">
      <alignment horizontal="center"/>
      <protection locked="0"/>
    </xf>
    <xf numFmtId="3" fontId="2" fillId="25" borderId="0" xfId="0" applyNumberFormat="1" applyFont="1" applyFill="1" applyAlignment="1" applyProtection="1">
      <alignment horizontal="left"/>
      <protection locked="0"/>
    </xf>
    <xf numFmtId="3" fontId="4" fillId="25" borderId="0" xfId="0" applyNumberFormat="1" applyFont="1" applyFill="1" applyAlignment="1" applyProtection="1">
      <alignment horizontal="left"/>
      <protection locked="0"/>
    </xf>
    <xf numFmtId="1" fontId="4" fillId="25" borderId="0" xfId="0" applyNumberFormat="1" applyFont="1" applyFill="1" applyAlignment="1" applyProtection="1">
      <alignment horizontal="center"/>
      <protection locked="0"/>
    </xf>
    <xf numFmtId="49" fontId="4" fillId="38" borderId="0" xfId="0" applyNumberFormat="1" applyFont="1" applyFill="1" applyAlignment="1" applyProtection="1">
      <alignment horizontal="left"/>
      <protection locked="0"/>
    </xf>
    <xf numFmtId="49" fontId="8" fillId="38" borderId="0" xfId="0" applyNumberFormat="1" applyFont="1" applyFill="1" applyAlignment="1" applyProtection="1">
      <alignment horizontal="left"/>
      <protection locked="0"/>
    </xf>
    <xf numFmtId="1" fontId="8" fillId="38" borderId="0" xfId="0" applyNumberFormat="1" applyFont="1" applyFill="1" applyAlignment="1" applyProtection="1">
      <alignment horizontal="center"/>
      <protection locked="0"/>
    </xf>
    <xf numFmtId="49" fontId="4" fillId="10" borderId="0" xfId="0" applyNumberFormat="1" applyFont="1" applyFill="1" applyAlignment="1" applyProtection="1">
      <alignment horizontal="left"/>
      <protection locked="0"/>
    </xf>
    <xf numFmtId="49" fontId="2" fillId="30" borderId="0" xfId="0" applyNumberFormat="1" applyFont="1" applyFill="1" applyAlignment="1" applyProtection="1">
      <alignment horizontal="center"/>
      <protection locked="0"/>
    </xf>
    <xf numFmtId="49" fontId="8" fillId="10" borderId="0" xfId="0" applyNumberFormat="1" applyFont="1" applyFill="1" applyAlignment="1" applyProtection="1">
      <alignment horizontal="left"/>
      <protection locked="0"/>
    </xf>
    <xf numFmtId="1" fontId="2" fillId="39" borderId="0" xfId="0" applyNumberFormat="1" applyFont="1" applyFill="1" applyAlignment="1" applyProtection="1">
      <alignment horizontal="center"/>
      <protection locked="0"/>
    </xf>
    <xf numFmtId="49" fontId="2" fillId="18" borderId="5" xfId="0" applyNumberFormat="1" applyFont="1" applyFill="1" applyBorder="1" applyAlignment="1" applyProtection="1">
      <alignment horizontal="center"/>
      <protection locked="0"/>
    </xf>
    <xf numFmtId="49" fontId="2" fillId="18" borderId="0" xfId="0" applyNumberFormat="1" applyFont="1" applyFill="1" applyAlignment="1" applyProtection="1">
      <alignment horizontal="left"/>
      <protection locked="0"/>
    </xf>
    <xf numFmtId="1" fontId="2" fillId="18" borderId="0" xfId="0" applyNumberFormat="1" applyFont="1" applyFill="1" applyAlignment="1" applyProtection="1">
      <alignment horizontal="center"/>
      <protection locked="0"/>
    </xf>
    <xf numFmtId="49" fontId="8" fillId="14" borderId="0" xfId="0" applyNumberFormat="1" applyFont="1" applyFill="1" applyAlignment="1" applyProtection="1">
      <alignment horizontal="left"/>
      <protection locked="0"/>
    </xf>
    <xf numFmtId="49" fontId="17" fillId="31" borderId="0" xfId="0" applyNumberFormat="1" applyFont="1" applyFill="1" applyAlignment="1" applyProtection="1">
      <alignment horizontal="center"/>
      <protection locked="0"/>
    </xf>
    <xf numFmtId="49" fontId="17" fillId="31" borderId="0" xfId="0" applyNumberFormat="1" applyFont="1" applyFill="1" applyAlignment="1" applyProtection="1">
      <alignment horizontal="left"/>
      <protection locked="0"/>
    </xf>
    <xf numFmtId="49" fontId="18" fillId="31" borderId="0" xfId="0" applyNumberFormat="1" applyFont="1" applyFill="1" applyAlignment="1" applyProtection="1">
      <alignment horizontal="left"/>
      <protection locked="0"/>
    </xf>
    <xf numFmtId="1" fontId="17" fillId="31" borderId="0" xfId="0" applyNumberFormat="1" applyFont="1" applyFill="1" applyAlignment="1" applyProtection="1">
      <alignment horizontal="center"/>
      <protection locked="0"/>
    </xf>
    <xf numFmtId="164" fontId="27" fillId="32" borderId="0" xfId="0" applyFont="1" applyFill="1" applyAlignment="1" applyProtection="1">
      <alignment horizontal="left"/>
      <protection locked="0"/>
    </xf>
    <xf numFmtId="164" fontId="26" fillId="32" borderId="0" xfId="0" applyFont="1" applyFill="1" applyAlignment="1" applyProtection="1">
      <alignment horizontal="left"/>
      <protection locked="0"/>
    </xf>
    <xf numFmtId="164" fontId="26" fillId="32" borderId="0" xfId="0" applyFont="1" applyFill="1" applyProtection="1">
      <protection locked="0"/>
    </xf>
    <xf numFmtId="164" fontId="27" fillId="32" borderId="0" xfId="0" applyFont="1" applyFill="1" applyProtection="1">
      <protection locked="0"/>
    </xf>
    <xf numFmtId="1" fontId="8" fillId="32" borderId="0" xfId="0" applyNumberFormat="1" applyFont="1" applyFill="1" applyAlignment="1" applyProtection="1">
      <alignment horizontal="center"/>
      <protection locked="0"/>
    </xf>
    <xf numFmtId="164" fontId="27" fillId="33" borderId="0" xfId="0" applyFont="1" applyFill="1" applyAlignment="1" applyProtection="1">
      <alignment horizontal="left"/>
      <protection locked="0"/>
    </xf>
    <xf numFmtId="1" fontId="8" fillId="20" borderId="0" xfId="0" applyNumberFormat="1" applyFont="1" applyFill="1" applyAlignment="1" applyProtection="1">
      <alignment horizontal="center"/>
      <protection locked="0"/>
    </xf>
    <xf numFmtId="49" fontId="2" fillId="40" borderId="0" xfId="0" applyNumberFormat="1" applyFont="1" applyFill="1" applyAlignment="1" applyProtection="1">
      <alignment horizontal="left"/>
      <protection locked="0"/>
    </xf>
    <xf numFmtId="164" fontId="27" fillId="35" borderId="0" xfId="0" applyFont="1" applyFill="1" applyAlignment="1" applyProtection="1">
      <alignment horizontal="left"/>
      <protection locked="0"/>
    </xf>
    <xf numFmtId="1" fontId="8" fillId="21" borderId="0" xfId="0" applyNumberFormat="1" applyFont="1" applyFill="1" applyAlignment="1" applyProtection="1">
      <alignment horizontal="center"/>
      <protection locked="0"/>
    </xf>
    <xf numFmtId="37" fontId="2" fillId="40" borderId="0" xfId="0" applyNumberFormat="1" applyFont="1" applyFill="1" applyAlignment="1" applyProtection="1">
      <alignment horizontal="left"/>
      <protection locked="0"/>
    </xf>
    <xf numFmtId="3" fontId="2" fillId="21" borderId="0" xfId="0" applyNumberFormat="1" applyFont="1" applyFill="1" applyAlignment="1" applyProtection="1">
      <alignment horizontal="left"/>
      <protection locked="0"/>
    </xf>
    <xf numFmtId="1" fontId="2" fillId="41" borderId="0" xfId="0" applyNumberFormat="1" applyFont="1" applyFill="1" applyAlignment="1" applyProtection="1">
      <alignment horizontal="center"/>
      <protection locked="0"/>
    </xf>
    <xf numFmtId="49" fontId="8" fillId="21" borderId="0" xfId="0" applyNumberFormat="1" applyFont="1" applyFill="1" applyAlignment="1" applyProtection="1">
      <alignment horizontal="left"/>
      <protection locked="0"/>
    </xf>
    <xf numFmtId="1" fontId="4" fillId="21" borderId="0" xfId="0" applyNumberFormat="1" applyFont="1" applyFill="1" applyAlignment="1" applyProtection="1">
      <alignment horizontal="center"/>
      <protection locked="0"/>
    </xf>
    <xf numFmtId="164" fontId="27" fillId="24" borderId="0" xfId="0" applyFont="1" applyFill="1" applyAlignment="1" applyProtection="1">
      <alignment horizontal="left"/>
      <protection locked="0"/>
    </xf>
    <xf numFmtId="164" fontId="2" fillId="22" borderId="0" xfId="0" applyFont="1" applyFill="1" applyAlignment="1" applyProtection="1">
      <alignment horizontal="left"/>
      <protection locked="0"/>
    </xf>
    <xf numFmtId="1" fontId="4" fillId="22" borderId="0" xfId="0" applyNumberFormat="1" applyFont="1" applyFill="1" applyAlignment="1" applyProtection="1">
      <alignment horizontal="center"/>
      <protection locked="0"/>
    </xf>
    <xf numFmtId="164" fontId="26" fillId="24" borderId="0" xfId="0" applyFont="1" applyFill="1" applyAlignment="1" applyProtection="1">
      <alignment horizontal="left"/>
      <protection locked="0"/>
    </xf>
    <xf numFmtId="0" fontId="2" fillId="37" borderId="0" xfId="0" applyNumberFormat="1" applyFont="1" applyFill="1" applyAlignment="1" applyProtection="1">
      <alignment horizontal="center"/>
      <protection locked="0"/>
    </xf>
    <xf numFmtId="164" fontId="26" fillId="42" borderId="0" xfId="0" applyFont="1" applyFill="1" applyAlignment="1" applyProtection="1">
      <alignment horizontal="left"/>
      <protection locked="0"/>
    </xf>
    <xf numFmtId="164" fontId="27" fillId="42" borderId="0" xfId="0" applyFont="1" applyFill="1" applyAlignment="1" applyProtection="1">
      <alignment horizontal="left"/>
      <protection locked="0"/>
    </xf>
    <xf numFmtId="164" fontId="2" fillId="37" borderId="0" xfId="0" applyFont="1" applyFill="1" applyAlignment="1" applyProtection="1">
      <alignment horizontal="left"/>
      <protection locked="0"/>
    </xf>
    <xf numFmtId="164" fontId="4" fillId="37" borderId="0" xfId="0" applyFont="1" applyFill="1" applyAlignment="1" applyProtection="1">
      <alignment horizontal="left"/>
      <protection locked="0"/>
    </xf>
    <xf numFmtId="49" fontId="2" fillId="43" borderId="0" xfId="0" applyNumberFormat="1" applyFont="1" applyFill="1" applyAlignment="1" applyProtection="1">
      <alignment horizontal="left"/>
      <protection locked="0"/>
    </xf>
    <xf numFmtId="1" fontId="2" fillId="43" borderId="0" xfId="0" applyNumberFormat="1" applyFont="1" applyFill="1" applyAlignment="1" applyProtection="1">
      <alignment horizontal="center"/>
      <protection locked="0"/>
    </xf>
    <xf numFmtId="49" fontId="17" fillId="25" borderId="0" xfId="0" applyNumberFormat="1" applyFont="1" applyFill="1" applyAlignment="1" applyProtection="1">
      <alignment horizontal="center"/>
      <protection locked="0"/>
    </xf>
    <xf numFmtId="49" fontId="28" fillId="44" borderId="0" xfId="0" applyNumberFormat="1" applyFont="1" applyFill="1" applyAlignment="1" applyProtection="1">
      <alignment horizontal="left"/>
      <protection locked="0"/>
    </xf>
    <xf numFmtId="49" fontId="17" fillId="25" borderId="0" xfId="0" applyNumberFormat="1" applyFont="1" applyFill="1" applyAlignment="1" applyProtection="1">
      <alignment horizontal="left"/>
      <protection locked="0"/>
    </xf>
    <xf numFmtId="1" fontId="17" fillId="25" borderId="0" xfId="0" applyNumberFormat="1" applyFont="1" applyFill="1" applyAlignment="1" applyProtection="1">
      <alignment horizontal="center"/>
      <protection locked="0"/>
    </xf>
    <xf numFmtId="49" fontId="17" fillId="25" borderId="5" xfId="0" applyNumberFormat="1" applyFont="1" applyFill="1" applyBorder="1" applyAlignment="1" applyProtection="1">
      <alignment horizontal="center"/>
      <protection locked="0"/>
    </xf>
    <xf numFmtId="0" fontId="29" fillId="0" borderId="19" xfId="8" applyFont="1" applyBorder="1"/>
    <xf numFmtId="0" fontId="29" fillId="0" borderId="20" xfId="8" applyFont="1" applyBorder="1"/>
    <xf numFmtId="9" fontId="29" fillId="0" borderId="21" xfId="8" applyNumberFormat="1" applyFont="1" applyBorder="1"/>
    <xf numFmtId="9" fontId="29" fillId="0" borderId="20" xfId="8" applyNumberFormat="1" applyFont="1" applyBorder="1"/>
    <xf numFmtId="9" fontId="29" fillId="0" borderId="22" xfId="8" applyNumberFormat="1" applyFont="1" applyBorder="1"/>
    <xf numFmtId="0" fontId="1" fillId="0" borderId="5" xfId="8" applyBorder="1"/>
    <xf numFmtId="0" fontId="29" fillId="0" borderId="0" xfId="8" applyFont="1"/>
    <xf numFmtId="0" fontId="29" fillId="0" borderId="23" xfId="8" applyFont="1" applyBorder="1"/>
    <xf numFmtId="0" fontId="29" fillId="0" borderId="24" xfId="8" applyFont="1" applyBorder="1"/>
    <xf numFmtId="0" fontId="29" fillId="0" borderId="25" xfId="8" applyFont="1" applyBorder="1"/>
    <xf numFmtId="0" fontId="29" fillId="0" borderId="26" xfId="8" applyFont="1" applyBorder="1"/>
    <xf numFmtId="9" fontId="29" fillId="0" borderId="27" xfId="8" applyNumberFormat="1" applyFont="1" applyBorder="1"/>
    <xf numFmtId="9" fontId="29" fillId="0" borderId="19" xfId="8" applyNumberFormat="1" applyFont="1" applyBorder="1"/>
    <xf numFmtId="0" fontId="29" fillId="0" borderId="21" xfId="8" applyFont="1" applyBorder="1"/>
    <xf numFmtId="0" fontId="29" fillId="0" borderId="28" xfId="8" applyFont="1" applyBorder="1"/>
    <xf numFmtId="0" fontId="29" fillId="0" borderId="29" xfId="8" applyFont="1" applyBorder="1"/>
    <xf numFmtId="0" fontId="29" fillId="0" borderId="5" xfId="8" applyFont="1" applyBorder="1"/>
    <xf numFmtId="9" fontId="29" fillId="0" borderId="30" xfId="8" applyNumberFormat="1" applyFont="1" applyBorder="1"/>
    <xf numFmtId="9" fontId="29" fillId="0" borderId="31" xfId="8" applyNumberFormat="1" applyFont="1" applyBorder="1"/>
    <xf numFmtId="0" fontId="30" fillId="0" borderId="19" xfId="8" applyFont="1" applyBorder="1"/>
    <xf numFmtId="166" fontId="29" fillId="0" borderId="19" xfId="8" applyNumberFormat="1" applyFont="1" applyBorder="1"/>
    <xf numFmtId="166" fontId="29" fillId="0" borderId="21" xfId="8" applyNumberFormat="1" applyFont="1" applyBorder="1"/>
    <xf numFmtId="166" fontId="29" fillId="0" borderId="32" xfId="8" applyNumberFormat="1" applyFont="1" applyBorder="1"/>
    <xf numFmtId="0" fontId="30" fillId="0" borderId="28" xfId="8" applyFont="1" applyBorder="1"/>
    <xf numFmtId="0" fontId="29" fillId="0" borderId="33" xfId="8" applyFont="1" applyBorder="1"/>
    <xf numFmtId="166" fontId="29" fillId="0" borderId="33" xfId="8" applyNumberFormat="1" applyFont="1" applyBorder="1"/>
    <xf numFmtId="166" fontId="29" fillId="0" borderId="0" xfId="8" applyNumberFormat="1" applyFont="1"/>
    <xf numFmtId="166" fontId="29" fillId="0" borderId="34" xfId="8" applyNumberFormat="1" applyFont="1" applyBorder="1"/>
    <xf numFmtId="0" fontId="1" fillId="0" borderId="34" xfId="8" applyBorder="1"/>
    <xf numFmtId="0" fontId="30" fillId="0" borderId="35" xfId="8" applyFont="1" applyBorder="1" applyAlignment="1">
      <alignment horizontal="right"/>
    </xf>
    <xf numFmtId="167" fontId="30" fillId="0" borderId="35" xfId="8" applyNumberFormat="1" applyFont="1" applyBorder="1"/>
    <xf numFmtId="167" fontId="30" fillId="0" borderId="1" xfId="8" applyNumberFormat="1" applyFont="1" applyBorder="1"/>
    <xf numFmtId="167" fontId="30" fillId="0" borderId="7" xfId="8" applyNumberFormat="1" applyFont="1" applyBorder="1"/>
    <xf numFmtId="167" fontId="30" fillId="45" borderId="1" xfId="8" applyNumberFormat="1" applyFont="1" applyFill="1" applyBorder="1"/>
    <xf numFmtId="167" fontId="30" fillId="0" borderId="36" xfId="8" applyNumberFormat="1" applyFont="1" applyBorder="1"/>
    <xf numFmtId="166" fontId="29" fillId="45" borderId="0" xfId="8" applyNumberFormat="1" applyFont="1" applyFill="1"/>
    <xf numFmtId="168" fontId="29" fillId="0" borderId="0" xfId="9" applyNumberFormat="1" applyFont="1"/>
    <xf numFmtId="166" fontId="29" fillId="45" borderId="33" xfId="8" applyNumberFormat="1" applyFont="1" applyFill="1" applyBorder="1"/>
    <xf numFmtId="0" fontId="30" fillId="0" borderId="37" xfId="8" applyFont="1" applyBorder="1" applyAlignment="1">
      <alignment horizontal="right"/>
    </xf>
    <xf numFmtId="167" fontId="30" fillId="0" borderId="37" xfId="8" applyNumberFormat="1" applyFont="1" applyBorder="1"/>
    <xf numFmtId="167" fontId="30" fillId="0" borderId="38" xfId="8" applyNumberFormat="1" applyFont="1" applyBorder="1"/>
    <xf numFmtId="167" fontId="30" fillId="0" borderId="39" xfId="8" applyNumberFormat="1" applyFont="1" applyBorder="1"/>
    <xf numFmtId="0" fontId="30" fillId="0" borderId="40" xfId="8" applyFont="1" applyBorder="1"/>
    <xf numFmtId="0" fontId="30" fillId="0" borderId="40" xfId="8" applyFont="1" applyBorder="1" applyAlignment="1">
      <alignment horizontal="right"/>
    </xf>
    <xf numFmtId="167" fontId="30" fillId="0" borderId="40" xfId="8" applyNumberFormat="1" applyFont="1" applyBorder="1"/>
    <xf numFmtId="167" fontId="30" fillId="0" borderId="41" xfId="8" applyNumberFormat="1" applyFont="1" applyBorder="1"/>
    <xf numFmtId="167" fontId="30" fillId="0" borderId="42" xfId="8" applyNumberFormat="1" applyFont="1" applyBorder="1"/>
    <xf numFmtId="0" fontId="30" fillId="0" borderId="33" xfId="8" applyFont="1" applyBorder="1"/>
    <xf numFmtId="0" fontId="31" fillId="0" borderId="0" xfId="8" applyFont="1"/>
    <xf numFmtId="167" fontId="30" fillId="45" borderId="36" xfId="8" applyNumberFormat="1" applyFont="1" applyFill="1" applyBorder="1"/>
    <xf numFmtId="167" fontId="30" fillId="45" borderId="35" xfId="8" applyNumberFormat="1" applyFont="1" applyFill="1" applyBorder="1"/>
    <xf numFmtId="168" fontId="29" fillId="0" borderId="0" xfId="10" applyNumberFormat="1" applyFont="1"/>
    <xf numFmtId="0" fontId="30" fillId="0" borderId="35" xfId="8" applyFont="1" applyBorder="1"/>
    <xf numFmtId="165" fontId="29" fillId="0" borderId="0" xfId="9" applyNumberFormat="1" applyFont="1"/>
    <xf numFmtId="165" fontId="29" fillId="0" borderId="1" xfId="9" applyNumberFormat="1" applyFont="1" applyBorder="1"/>
    <xf numFmtId="0" fontId="1" fillId="0" borderId="19" xfId="8" applyBorder="1"/>
    <xf numFmtId="0" fontId="1" fillId="0" borderId="20" xfId="8" applyBorder="1"/>
    <xf numFmtId="9" fontId="29" fillId="0" borderId="43" xfId="8" applyNumberFormat="1" applyFont="1" applyBorder="1"/>
    <xf numFmtId="0" fontId="1" fillId="0" borderId="0" xfId="8"/>
    <xf numFmtId="0" fontId="29" fillId="0" borderId="32" xfId="8" applyFont="1" applyBorder="1"/>
    <xf numFmtId="0" fontId="29" fillId="0" borderId="27" xfId="8" applyFont="1" applyBorder="1"/>
    <xf numFmtId="0" fontId="1" fillId="0" borderId="44" xfId="8" applyBorder="1"/>
    <xf numFmtId="0" fontId="29" fillId="0" borderId="44" xfId="8" applyFont="1" applyBorder="1"/>
    <xf numFmtId="0" fontId="1" fillId="0" borderId="21" xfId="8" applyBorder="1"/>
    <xf numFmtId="0" fontId="29" fillId="0" borderId="45" xfId="8" applyFont="1" applyBorder="1"/>
    <xf numFmtId="0" fontId="29" fillId="0" borderId="46" xfId="8" applyFont="1" applyBorder="1"/>
    <xf numFmtId="0" fontId="29" fillId="0" borderId="31" xfId="8" applyFont="1" applyBorder="1"/>
    <xf numFmtId="0" fontId="29" fillId="0" borderId="30" xfId="8" applyFont="1" applyBorder="1"/>
    <xf numFmtId="3" fontId="1" fillId="0" borderId="0" xfId="8" applyNumberFormat="1"/>
    <xf numFmtId="3" fontId="29" fillId="0" borderId="0" xfId="8" applyNumberFormat="1" applyFont="1"/>
    <xf numFmtId="3" fontId="29" fillId="0" borderId="33" xfId="8" applyNumberFormat="1" applyFont="1" applyBorder="1"/>
    <xf numFmtId="3" fontId="29" fillId="0" borderId="34" xfId="8" applyNumberFormat="1" applyFont="1" applyBorder="1"/>
    <xf numFmtId="3" fontId="29" fillId="0" borderId="47" xfId="8" applyNumberFormat="1" applyFont="1" applyBorder="1"/>
    <xf numFmtId="3" fontId="29" fillId="0" borderId="0" xfId="9" applyNumberFormat="1" applyFont="1"/>
    <xf numFmtId="3" fontId="1" fillId="0" borderId="48" xfId="8" applyNumberFormat="1" applyBorder="1"/>
    <xf numFmtId="3" fontId="29" fillId="0" borderId="1" xfId="8" applyNumberFormat="1" applyFont="1" applyBorder="1"/>
    <xf numFmtId="3" fontId="29" fillId="0" borderId="35" xfId="8" applyNumberFormat="1" applyFont="1" applyBorder="1"/>
    <xf numFmtId="3" fontId="29" fillId="0" borderId="36" xfId="8" applyNumberFormat="1" applyFont="1" applyBorder="1"/>
    <xf numFmtId="3" fontId="29" fillId="0" borderId="49" xfId="8" applyNumberFormat="1" applyFont="1" applyBorder="1"/>
    <xf numFmtId="3" fontId="1" fillId="0" borderId="1" xfId="8" applyNumberFormat="1" applyBorder="1"/>
    <xf numFmtId="3" fontId="29" fillId="0" borderId="50" xfId="8" applyNumberFormat="1" applyFont="1" applyBorder="1"/>
    <xf numFmtId="3" fontId="29" fillId="0" borderId="51" xfId="8" applyNumberFormat="1" applyFont="1" applyBorder="1"/>
    <xf numFmtId="3" fontId="29" fillId="0" borderId="5" xfId="8" applyNumberFormat="1" applyFont="1" applyBorder="1"/>
    <xf numFmtId="3" fontId="29" fillId="0" borderId="7" xfId="8" applyNumberFormat="1" applyFont="1" applyBorder="1"/>
    <xf numFmtId="3" fontId="29" fillId="0" borderId="0" xfId="9" applyNumberFormat="1" applyFont="1" applyAlignment="1">
      <alignment horizontal="right"/>
    </xf>
    <xf numFmtId="3" fontId="2" fillId="0" borderId="0" xfId="9" applyNumberFormat="1" applyFont="1"/>
    <xf numFmtId="3" fontId="1" fillId="0" borderId="0" xfId="9" applyNumberFormat="1"/>
    <xf numFmtId="3" fontId="31" fillId="0" borderId="0" xfId="9" applyNumberFormat="1" applyFont="1"/>
    <xf numFmtId="165" fontId="0" fillId="0" borderId="5" xfId="10" applyNumberFormat="1" applyFont="1" applyBorder="1"/>
    <xf numFmtId="165" fontId="0" fillId="0" borderId="0" xfId="10" applyNumberFormat="1" applyFont="1"/>
    <xf numFmtId="165" fontId="0" fillId="10" borderId="0" xfId="10" applyNumberFormat="1" applyFont="1" applyFill="1"/>
    <xf numFmtId="165" fontId="0" fillId="15" borderId="0" xfId="10" applyNumberFormat="1" applyFont="1" applyFill="1"/>
    <xf numFmtId="165" fontId="0" fillId="20" borderId="5" xfId="10" applyNumberFormat="1" applyFont="1" applyFill="1" applyBorder="1"/>
    <xf numFmtId="165" fontId="0" fillId="20" borderId="0" xfId="10" applyNumberFormat="1" applyFont="1" applyFill="1"/>
    <xf numFmtId="165" fontId="0" fillId="0" borderId="55" xfId="10" applyNumberFormat="1" applyFont="1" applyBorder="1"/>
    <xf numFmtId="165" fontId="0" fillId="0" borderId="53" xfId="10" applyNumberFormat="1" applyFont="1" applyBorder="1"/>
    <xf numFmtId="165" fontId="0" fillId="10" borderId="53" xfId="10" applyNumberFormat="1" applyFont="1" applyFill="1" applyBorder="1"/>
    <xf numFmtId="165" fontId="0" fillId="15" borderId="53" xfId="10" applyNumberFormat="1" applyFont="1" applyFill="1" applyBorder="1"/>
    <xf numFmtId="165" fontId="0" fillId="20" borderId="55" xfId="10" applyNumberFormat="1" applyFont="1" applyFill="1" applyBorder="1"/>
    <xf numFmtId="165" fontId="0" fillId="20" borderId="53" xfId="10" applyNumberFormat="1" applyFont="1" applyFill="1" applyBorder="1"/>
    <xf numFmtId="164" fontId="4" fillId="0" borderId="0" xfId="0" applyFont="1" applyAlignment="1">
      <alignment horizontal="left"/>
    </xf>
    <xf numFmtId="164" fontId="0" fillId="0" borderId="0" xfId="0" applyAlignment="1">
      <alignment horizontal="left"/>
    </xf>
    <xf numFmtId="164" fontId="0" fillId="10" borderId="5" xfId="0" applyFill="1" applyBorder="1"/>
    <xf numFmtId="164" fontId="0" fillId="10" borderId="0" xfId="0" applyFill="1"/>
    <xf numFmtId="164" fontId="0" fillId="15" borderId="5" xfId="0" applyFill="1" applyBorder="1"/>
    <xf numFmtId="164" fontId="0" fillId="15" borderId="0" xfId="0" applyFill="1"/>
    <xf numFmtId="164" fontId="0" fillId="20" borderId="5" xfId="0" applyFill="1" applyBorder="1"/>
    <xf numFmtId="164" fontId="0" fillId="20" borderId="0" xfId="0" applyFill="1"/>
    <xf numFmtId="164" fontId="0" fillId="10" borderId="55" xfId="0" applyFill="1" applyBorder="1" applyAlignment="1">
      <alignment horizontal="centerContinuous"/>
    </xf>
    <xf numFmtId="164" fontId="0" fillId="10" borderId="54" xfId="0" applyFill="1" applyBorder="1" applyAlignment="1">
      <alignment horizontal="centerContinuous"/>
    </xf>
    <xf numFmtId="164" fontId="0" fillId="10" borderId="53" xfId="0" applyFill="1" applyBorder="1" applyAlignment="1">
      <alignment horizontal="centerContinuous"/>
    </xf>
    <xf numFmtId="164" fontId="0" fillId="15" borderId="55" xfId="0" applyFill="1" applyBorder="1" applyAlignment="1">
      <alignment horizontal="centerContinuous"/>
    </xf>
    <xf numFmtId="164" fontId="0" fillId="15" borderId="53" xfId="0" applyFill="1" applyBorder="1" applyAlignment="1">
      <alignment horizontal="centerContinuous"/>
    </xf>
    <xf numFmtId="164" fontId="0" fillId="20" borderId="55" xfId="0" applyFill="1" applyBorder="1" applyAlignment="1">
      <alignment horizontal="centerContinuous"/>
    </xf>
    <xf numFmtId="164" fontId="0" fillId="20" borderId="53" xfId="0" applyFill="1" applyBorder="1" applyAlignment="1">
      <alignment horizontal="centerContinuous"/>
    </xf>
    <xf numFmtId="1" fontId="0" fillId="46" borderId="53" xfId="0" applyNumberFormat="1" applyFill="1" applyBorder="1" applyAlignment="1">
      <alignment horizontal="left"/>
    </xf>
    <xf numFmtId="1" fontId="2" fillId="46" borderId="26" xfId="0" applyNumberFormat="1" applyFont="1" applyFill="1" applyBorder="1" applyAlignment="1">
      <alignment horizontal="center"/>
    </xf>
    <xf numFmtId="1" fontId="2" fillId="46" borderId="56" xfId="0" applyNumberFormat="1" applyFont="1" applyFill="1" applyBorder="1" applyAlignment="1">
      <alignment horizontal="center"/>
    </xf>
    <xf numFmtId="1" fontId="0" fillId="46" borderId="26" xfId="0" applyNumberFormat="1" applyFill="1" applyBorder="1" applyAlignment="1">
      <alignment horizontal="center"/>
    </xf>
    <xf numFmtId="1" fontId="0" fillId="46" borderId="56" xfId="0" applyNumberFormat="1" applyFill="1" applyBorder="1" applyAlignment="1">
      <alignment horizontal="center"/>
    </xf>
    <xf numFmtId="1" fontId="0" fillId="46" borderId="57" xfId="0" applyNumberFormat="1" applyFill="1" applyBorder="1" applyAlignment="1">
      <alignment horizontal="center"/>
    </xf>
    <xf numFmtId="1" fontId="0" fillId="46" borderId="0" xfId="0" applyNumberFormat="1" applyFill="1"/>
    <xf numFmtId="164" fontId="0" fillId="0" borderId="53" xfId="0" applyBorder="1" applyAlignment="1">
      <alignment horizontal="left"/>
    </xf>
    <xf numFmtId="164" fontId="0" fillId="46" borderId="0" xfId="0" applyFill="1" applyAlignment="1">
      <alignment horizontal="left"/>
    </xf>
    <xf numFmtId="164" fontId="0" fillId="46" borderId="0" xfId="0" applyFill="1"/>
    <xf numFmtId="37" fontId="7" fillId="0" borderId="0" xfId="8" applyNumberFormat="1" applyFont="1" applyAlignment="1">
      <alignment horizontal="centerContinuous"/>
    </xf>
    <xf numFmtId="0" fontId="32" fillId="0" borderId="0" xfId="8" applyFont="1" applyAlignment="1">
      <alignment horizontal="centerContinuous"/>
    </xf>
    <xf numFmtId="0" fontId="2" fillId="0" borderId="0" xfId="8" applyFont="1" applyAlignment="1">
      <alignment horizontal="centerContinuous"/>
    </xf>
    <xf numFmtId="165" fontId="33" fillId="0" borderId="0" xfId="10" applyNumberFormat="1" applyFont="1" applyAlignment="1">
      <alignment horizontal="left"/>
    </xf>
    <xf numFmtId="165" fontId="33" fillId="0" borderId="0" xfId="10" applyNumberFormat="1" applyFont="1" applyAlignment="1">
      <alignment horizontal="centerContinuous"/>
    </xf>
    <xf numFmtId="0" fontId="2" fillId="0" borderId="0" xfId="8" applyFont="1"/>
    <xf numFmtId="37" fontId="4" fillId="0" borderId="0" xfId="8" applyNumberFormat="1" applyFont="1" applyAlignment="1">
      <alignment horizontal="centerContinuous"/>
    </xf>
    <xf numFmtId="0" fontId="1" fillId="0" borderId="0" xfId="8" applyAlignment="1">
      <alignment vertical="top" wrapText="1"/>
    </xf>
    <xf numFmtId="37" fontId="35" fillId="0" borderId="0" xfId="8" applyNumberFormat="1" applyFont="1" applyAlignment="1">
      <alignment horizontal="centerContinuous"/>
    </xf>
    <xf numFmtId="165" fontId="36" fillId="0" borderId="0" xfId="10" applyNumberFormat="1" applyFont="1" applyAlignment="1">
      <alignment horizontal="left"/>
    </xf>
    <xf numFmtId="165" fontId="36" fillId="0" borderId="0" xfId="10" applyNumberFormat="1" applyFont="1" applyAlignment="1">
      <alignment horizontal="centerContinuous"/>
    </xf>
    <xf numFmtId="0" fontId="2" fillId="0" borderId="53" xfId="8" applyFont="1" applyBorder="1"/>
    <xf numFmtId="3" fontId="2" fillId="0" borderId="53" xfId="8" applyNumberFormat="1" applyFont="1" applyBorder="1"/>
    <xf numFmtId="0" fontId="2" fillId="0" borderId="53" xfId="8" applyFont="1" applyBorder="1" applyAlignment="1">
      <alignment horizontal="left"/>
    </xf>
    <xf numFmtId="3" fontId="2" fillId="0" borderId="0" xfId="8" applyNumberFormat="1" applyFont="1"/>
    <xf numFmtId="165" fontId="36" fillId="0" borderId="0" xfId="10" applyNumberFormat="1" applyFont="1"/>
    <xf numFmtId="37" fontId="37" fillId="0" borderId="0" xfId="8" applyNumberFormat="1" applyFont="1"/>
    <xf numFmtId="0" fontId="37" fillId="0" borderId="57" xfId="8" applyFont="1" applyBorder="1" applyAlignment="1">
      <alignment horizontal="centerContinuous"/>
    </xf>
    <xf numFmtId="0" fontId="37" fillId="0" borderId="0" xfId="8" applyFont="1" applyAlignment="1">
      <alignment horizontal="centerContinuous"/>
    </xf>
    <xf numFmtId="165" fontId="38" fillId="0" borderId="0" xfId="10" applyNumberFormat="1" applyFont="1" applyAlignment="1">
      <alignment horizontal="left"/>
    </xf>
    <xf numFmtId="165" fontId="39" fillId="0" borderId="0" xfId="10" applyNumberFormat="1" applyFont="1" applyAlignment="1">
      <alignment horizontal="centerContinuous"/>
    </xf>
    <xf numFmtId="0" fontId="37" fillId="0" borderId="0" xfId="8" applyFont="1"/>
    <xf numFmtId="0" fontId="37" fillId="0" borderId="26" xfId="8" applyFont="1" applyBorder="1" applyAlignment="1">
      <alignment horizontal="center"/>
    </xf>
    <xf numFmtId="0" fontId="37" fillId="0" borderId="57" xfId="8" applyFont="1" applyBorder="1" applyAlignment="1">
      <alignment horizontal="center"/>
    </xf>
    <xf numFmtId="0" fontId="37" fillId="0" borderId="29" xfId="8" applyFont="1" applyBorder="1" applyAlignment="1">
      <alignment horizontal="centerContinuous"/>
    </xf>
    <xf numFmtId="0" fontId="37" fillId="0" borderId="57" xfId="8" applyFont="1" applyBorder="1" applyAlignment="1">
      <alignment horizontal="center" wrapText="1"/>
    </xf>
    <xf numFmtId="0" fontId="37" fillId="0" borderId="56" xfId="8" applyFont="1" applyBorder="1" applyAlignment="1">
      <alignment horizontal="center" wrapText="1"/>
    </xf>
    <xf numFmtId="0" fontId="37" fillId="0" borderId="58" xfId="8" applyFont="1" applyBorder="1" applyAlignment="1">
      <alignment horizontal="center" wrapText="1"/>
    </xf>
    <xf numFmtId="0" fontId="37" fillId="0" borderId="26" xfId="8" applyFont="1" applyBorder="1" applyAlignment="1">
      <alignment horizontal="centerContinuous"/>
    </xf>
    <xf numFmtId="0" fontId="37" fillId="0" borderId="56" xfId="8" applyFont="1" applyBorder="1" applyAlignment="1">
      <alignment horizontal="centerContinuous"/>
    </xf>
    <xf numFmtId="0" fontId="37" fillId="0" borderId="55" xfId="8" applyFont="1" applyBorder="1" applyAlignment="1">
      <alignment horizontal="center" wrapText="1"/>
    </xf>
    <xf numFmtId="3" fontId="39" fillId="0" borderId="0" xfId="8" applyNumberFormat="1" applyFont="1"/>
    <xf numFmtId="0" fontId="39" fillId="0" borderId="0" xfId="8" applyFont="1"/>
    <xf numFmtId="0" fontId="2" fillId="0" borderId="25" xfId="8" applyFont="1" applyBorder="1" applyAlignment="1">
      <alignment horizontal="left"/>
    </xf>
    <xf numFmtId="169" fontId="2" fillId="0" borderId="0" xfId="11" applyNumberFormat="1" applyFont="1" applyAlignment="1">
      <alignment horizontal="right"/>
    </xf>
    <xf numFmtId="169" fontId="9" fillId="0" borderId="59" xfId="10" applyNumberFormat="1" applyFont="1" applyBorder="1" applyAlignment="1">
      <alignment horizontal="right"/>
    </xf>
    <xf numFmtId="170" fontId="2" fillId="0" borderId="60" xfId="11" applyNumberFormat="1" applyFont="1" applyBorder="1" applyAlignment="1">
      <alignment horizontal="right"/>
    </xf>
    <xf numFmtId="169" fontId="2" fillId="0" borderId="25" xfId="8" applyNumberFormat="1" applyFont="1" applyBorder="1"/>
    <xf numFmtId="169" fontId="2" fillId="0" borderId="60" xfId="11" applyNumberFormat="1" applyFont="1" applyBorder="1" applyAlignment="1">
      <alignment horizontal="right"/>
    </xf>
    <xf numFmtId="168" fontId="36" fillId="0" borderId="0" xfId="10" applyNumberFormat="1" applyFont="1" applyAlignment="1">
      <alignment horizontal="right"/>
    </xf>
    <xf numFmtId="169" fontId="2" fillId="0" borderId="0" xfId="8" applyNumberFormat="1" applyFont="1"/>
    <xf numFmtId="2" fontId="2" fillId="0" borderId="52" xfId="11" applyNumberFormat="1" applyFont="1" applyBorder="1" applyAlignment="1">
      <alignment horizontal="right"/>
    </xf>
    <xf numFmtId="169" fontId="2" fillId="0" borderId="52" xfId="11" applyNumberFormat="1" applyFont="1" applyBorder="1" applyAlignment="1">
      <alignment horizontal="right"/>
    </xf>
    <xf numFmtId="170" fontId="2" fillId="0" borderId="0" xfId="11" applyNumberFormat="1" applyFont="1" applyAlignment="1">
      <alignment horizontal="right"/>
    </xf>
    <xf numFmtId="171" fontId="2" fillId="0" borderId="52" xfId="11" applyNumberFormat="1" applyFont="1" applyBorder="1" applyAlignment="1">
      <alignment horizontal="right"/>
    </xf>
    <xf numFmtId="170" fontId="2" fillId="0" borderId="52" xfId="11" applyNumberFormat="1" applyFont="1" applyBorder="1" applyAlignment="1">
      <alignment horizontal="right"/>
    </xf>
    <xf numFmtId="2" fontId="2" fillId="0" borderId="0" xfId="11" applyNumberFormat="1" applyFont="1" applyAlignment="1">
      <alignment horizontal="right"/>
    </xf>
    <xf numFmtId="169" fontId="2" fillId="0" borderId="53" xfId="11" applyNumberFormat="1" applyFont="1" applyBorder="1" applyAlignment="1">
      <alignment horizontal="right"/>
    </xf>
    <xf numFmtId="169" fontId="9" fillId="0" borderId="61" xfId="10" applyNumberFormat="1" applyFont="1" applyBorder="1" applyAlignment="1">
      <alignment horizontal="right"/>
    </xf>
    <xf numFmtId="169" fontId="2" fillId="0" borderId="54" xfId="11" applyNumberFormat="1" applyFont="1" applyBorder="1" applyAlignment="1">
      <alignment horizontal="right"/>
    </xf>
    <xf numFmtId="169" fontId="2" fillId="0" borderId="53" xfId="8" applyNumberFormat="1" applyFont="1" applyBorder="1"/>
    <xf numFmtId="0" fontId="42" fillId="0" borderId="0" xfId="8" applyFont="1" applyAlignment="1">
      <alignment wrapText="1"/>
    </xf>
    <xf numFmtId="0" fontId="34" fillId="0" borderId="0" xfId="8" applyFont="1"/>
    <xf numFmtId="0" fontId="42" fillId="0" borderId="0" xfId="8" applyFont="1" applyAlignment="1">
      <alignment vertical="top"/>
    </xf>
    <xf numFmtId="168" fontId="34" fillId="0" borderId="0" xfId="10" applyNumberFormat="1" applyFont="1" applyAlignment="1">
      <alignment horizontal="right"/>
    </xf>
    <xf numFmtId="168" fontId="34" fillId="0" borderId="0" xfId="10" applyNumberFormat="1" applyFont="1" applyAlignment="1">
      <alignment horizontal="right" indent="1"/>
    </xf>
    <xf numFmtId="169" fontId="34" fillId="0" borderId="0" xfId="8" applyNumberFormat="1" applyFont="1"/>
    <xf numFmtId="0" fontId="42" fillId="0" borderId="0" xfId="8" applyFont="1" applyAlignment="1">
      <alignment vertical="top" wrapText="1"/>
    </xf>
    <xf numFmtId="49" fontId="34" fillId="0" borderId="0" xfId="8" quotePrefix="1" applyNumberFormat="1" applyFont="1" applyAlignment="1">
      <alignment horizontal="right"/>
    </xf>
    <xf numFmtId="3" fontId="37" fillId="0" borderId="0" xfId="8" applyNumberFormat="1" applyFont="1"/>
    <xf numFmtId="0" fontId="2" fillId="0" borderId="25" xfId="8" applyFont="1" applyBorder="1"/>
    <xf numFmtId="171" fontId="2" fillId="0" borderId="0" xfId="11" applyNumberFormat="1" applyFont="1" applyAlignment="1">
      <alignment horizontal="right"/>
    </xf>
    <xf numFmtId="171" fontId="2" fillId="0" borderId="53" xfId="11" applyNumberFormat="1" applyFont="1" applyBorder="1" applyAlignment="1">
      <alignment horizontal="right"/>
    </xf>
    <xf numFmtId="0" fontId="42" fillId="0" borderId="0" xfId="8" applyFont="1"/>
    <xf numFmtId="168" fontId="34" fillId="0" borderId="0" xfId="8" applyNumberFormat="1" applyFont="1"/>
    <xf numFmtId="0" fontId="34" fillId="0" borderId="0" xfId="8" applyFont="1" applyAlignment="1">
      <alignment horizontal="centerContinuous"/>
    </xf>
    <xf numFmtId="0" fontId="29" fillId="0" borderId="0" xfId="8" applyFont="1" applyAlignment="1">
      <alignment vertical="top" wrapText="1"/>
    </xf>
    <xf numFmtId="2" fontId="2" fillId="0" borderId="60" xfId="11" applyNumberFormat="1" applyFont="1" applyBorder="1" applyAlignment="1">
      <alignment horizontal="right"/>
    </xf>
    <xf numFmtId="2" fontId="2" fillId="0" borderId="53" xfId="11" applyNumberFormat="1" applyFont="1" applyBorder="1" applyAlignment="1">
      <alignment horizontal="right"/>
    </xf>
    <xf numFmtId="169" fontId="43" fillId="0" borderId="0" xfId="12" applyNumberFormat="1" applyFill="1" applyAlignment="1">
      <alignment horizontal="right"/>
    </xf>
    <xf numFmtId="2" fontId="2" fillId="0" borderId="54" xfId="11" applyNumberFormat="1" applyFont="1" applyBorder="1" applyAlignment="1">
      <alignment horizontal="right"/>
    </xf>
    <xf numFmtId="0" fontId="2" fillId="0" borderId="0" xfId="8" applyFont="1" applyAlignment="1">
      <alignment horizontal="left"/>
    </xf>
    <xf numFmtId="1" fontId="2" fillId="0" borderId="0" xfId="8" applyNumberFormat="1" applyFont="1"/>
    <xf numFmtId="169" fontId="2" fillId="0" borderId="0" xfId="10" applyNumberFormat="1"/>
    <xf numFmtId="168" fontId="44" fillId="0" borderId="0" xfId="10" applyNumberFormat="1" applyFont="1" applyAlignment="1">
      <alignment horizontal="right"/>
    </xf>
    <xf numFmtId="165" fontId="44" fillId="0" borderId="0" xfId="10" applyNumberFormat="1" applyFont="1"/>
    <xf numFmtId="169" fontId="2" fillId="0" borderId="0" xfId="10" applyNumberFormat="1" applyAlignment="1">
      <alignment horizontal="right"/>
    </xf>
    <xf numFmtId="169" fontId="2" fillId="0" borderId="0" xfId="10" applyNumberFormat="1" applyAlignment="1">
      <alignment horizontal="right" indent="1"/>
    </xf>
    <xf numFmtId="0" fontId="44" fillId="0" borderId="0" xfId="8" applyFont="1"/>
    <xf numFmtId="0" fontId="34" fillId="0" borderId="0" xfId="8" applyFont="1" applyAlignment="1">
      <alignment horizontal="left"/>
    </xf>
    <xf numFmtId="169" fontId="2" fillId="0" borderId="0" xfId="11" quotePrefix="1" applyNumberFormat="1" applyFont="1" applyAlignment="1">
      <alignment horizontal="left"/>
    </xf>
    <xf numFmtId="0" fontId="1" fillId="0" borderId="0" xfId="8" applyAlignment="1">
      <alignment wrapText="1"/>
    </xf>
    <xf numFmtId="165" fontId="44" fillId="0" borderId="0" xfId="10" applyNumberFormat="1" applyFont="1" applyAlignment="1">
      <alignment horizontal="left"/>
    </xf>
    <xf numFmtId="165" fontId="2" fillId="0" borderId="0" xfId="10" applyNumberFormat="1" applyAlignment="1">
      <alignment horizontal="left"/>
    </xf>
    <xf numFmtId="0" fontId="36" fillId="0" borderId="0" xfId="8" applyFont="1"/>
    <xf numFmtId="165" fontId="49" fillId="0" borderId="0" xfId="10" applyNumberFormat="1" applyFont="1" applyAlignment="1">
      <alignment horizontal="left"/>
    </xf>
    <xf numFmtId="165" fontId="37" fillId="0" borderId="0" xfId="10" applyNumberFormat="1" applyFont="1" applyAlignment="1">
      <alignment horizontal="centerContinuous"/>
    </xf>
    <xf numFmtId="169" fontId="2" fillId="0" borderId="0" xfId="11" quotePrefix="1" applyNumberFormat="1" applyFont="1" applyAlignment="1">
      <alignment horizontal="right"/>
    </xf>
    <xf numFmtId="169" fontId="36" fillId="0" borderId="0" xfId="8" applyNumberFormat="1" applyFont="1"/>
    <xf numFmtId="1" fontId="36" fillId="0" borderId="0" xfId="8" applyNumberFormat="1" applyFont="1"/>
    <xf numFmtId="172" fontId="2" fillId="0" borderId="0" xfId="11" applyNumberFormat="1" applyFont="1" applyAlignment="1">
      <alignment horizontal="right"/>
    </xf>
    <xf numFmtId="169" fontId="44" fillId="0" borderId="0" xfId="8" applyNumberFormat="1" applyFont="1"/>
    <xf numFmtId="3" fontId="36" fillId="0" borderId="0" xfId="8" applyNumberFormat="1" applyFont="1"/>
    <xf numFmtId="0" fontId="29" fillId="0" borderId="0" xfId="8" applyFont="1" applyAlignment="1">
      <alignment wrapText="1"/>
    </xf>
    <xf numFmtId="49" fontId="7" fillId="0" borderId="0" xfId="8" applyNumberFormat="1" applyFont="1" applyAlignment="1" applyProtection="1">
      <alignment horizontal="centerContinuous"/>
      <protection locked="0"/>
    </xf>
    <xf numFmtId="0" fontId="1" fillId="0" borderId="0" xfId="8" applyAlignment="1">
      <alignment horizontal="centerContinuous"/>
    </xf>
    <xf numFmtId="0" fontId="29" fillId="0" borderId="0" xfId="8" applyFont="1" applyAlignment="1">
      <alignment horizontal="centerContinuous"/>
    </xf>
    <xf numFmtId="37" fontId="50" fillId="0" borderId="0" xfId="8" applyNumberFormat="1" applyFont="1" applyAlignment="1">
      <alignment horizontal="centerContinuous"/>
    </xf>
    <xf numFmtId="37" fontId="51" fillId="0" borderId="53" xfId="8" applyNumberFormat="1" applyFont="1" applyBorder="1"/>
    <xf numFmtId="0" fontId="1" fillId="0" borderId="53" xfId="8" applyBorder="1"/>
    <xf numFmtId="0" fontId="29" fillId="0" borderId="53" xfId="8" applyFont="1" applyBorder="1"/>
    <xf numFmtId="37" fontId="51" fillId="0" borderId="57" xfId="8" applyNumberFormat="1" applyFont="1" applyBorder="1"/>
    <xf numFmtId="0" fontId="4" fillId="0" borderId="57" xfId="8" applyFont="1" applyBorder="1" applyAlignment="1">
      <alignment horizontal="center"/>
    </xf>
    <xf numFmtId="0" fontId="4" fillId="0" borderId="26" xfId="8" applyFont="1" applyBorder="1" applyAlignment="1">
      <alignment horizontal="center"/>
    </xf>
    <xf numFmtId="0" fontId="4" fillId="0" borderId="26" xfId="8" applyFont="1" applyBorder="1" applyAlignment="1">
      <alignment horizontal="centerContinuous"/>
    </xf>
    <xf numFmtId="0" fontId="4" fillId="0" borderId="57" xfId="8" applyFont="1" applyBorder="1" applyAlignment="1">
      <alignment horizontal="centerContinuous"/>
    </xf>
    <xf numFmtId="0" fontId="4" fillId="0" borderId="0" xfId="8" applyFont="1"/>
    <xf numFmtId="37" fontId="51" fillId="0" borderId="57" xfId="8" applyNumberFormat="1" applyFont="1" applyBorder="1" applyAlignment="1">
      <alignment horizontal="center"/>
    </xf>
    <xf numFmtId="0" fontId="4" fillId="0" borderId="58" xfId="8" applyFont="1" applyBorder="1" applyAlignment="1">
      <alignment horizontal="center"/>
    </xf>
    <xf numFmtId="0" fontId="4" fillId="0" borderId="26" xfId="8" applyFont="1" applyBorder="1" applyAlignment="1">
      <alignment horizontal="center" wrapText="1"/>
    </xf>
    <xf numFmtId="0" fontId="4" fillId="0" borderId="0" xfId="8" applyFont="1" applyAlignment="1">
      <alignment horizontal="center"/>
    </xf>
    <xf numFmtId="169" fontId="2" fillId="0" borderId="0" xfId="8" applyNumberFormat="1" applyFont="1" applyAlignment="1">
      <alignment horizontal="center"/>
    </xf>
    <xf numFmtId="169" fontId="2" fillId="0" borderId="62" xfId="8" applyNumberFormat="1" applyFont="1" applyBorder="1" applyAlignment="1">
      <alignment horizontal="center"/>
    </xf>
    <xf numFmtId="169" fontId="2" fillId="0" borderId="34" xfId="8" applyNumberFormat="1" applyFont="1" applyBorder="1" applyAlignment="1">
      <alignment horizontal="center"/>
    </xf>
    <xf numFmtId="169" fontId="2" fillId="0" borderId="34" xfId="8" applyNumberFormat="1" applyFont="1" applyBorder="1"/>
    <xf numFmtId="169" fontId="2" fillId="0" borderId="29" xfId="8" applyNumberFormat="1" applyFont="1" applyBorder="1" applyAlignment="1">
      <alignment horizontal="center"/>
    </xf>
    <xf numFmtId="169" fontId="2" fillId="0" borderId="59" xfId="8" applyNumberFormat="1" applyFont="1" applyBorder="1" applyAlignment="1">
      <alignment horizontal="center"/>
    </xf>
    <xf numFmtId="169" fontId="2" fillId="0" borderId="53" xfId="8" applyNumberFormat="1" applyFont="1" applyBorder="1" applyAlignment="1">
      <alignment horizontal="center"/>
    </xf>
    <xf numFmtId="169" fontId="2" fillId="0" borderId="61" xfId="8" applyNumberFormat="1" applyFont="1" applyBorder="1" applyAlignment="1">
      <alignment horizontal="center"/>
    </xf>
    <xf numFmtId="169" fontId="2" fillId="0" borderId="55" xfId="8" applyNumberFormat="1" applyFont="1" applyBorder="1" applyAlignment="1">
      <alignment horizontal="center"/>
    </xf>
    <xf numFmtId="169" fontId="2" fillId="0" borderId="54" xfId="8" applyNumberFormat="1" applyFont="1" applyBorder="1" applyAlignment="1">
      <alignment horizontal="center"/>
    </xf>
    <xf numFmtId="169" fontId="2" fillId="0" borderId="55" xfId="8" applyNumberFormat="1" applyFont="1" applyBorder="1"/>
    <xf numFmtId="49" fontId="34" fillId="0" borderId="0" xfId="8" applyNumberFormat="1" applyFont="1" applyAlignment="1">
      <alignment horizontal="right"/>
    </xf>
    <xf numFmtId="37" fontId="50" fillId="0" borderId="0" xfId="8" applyNumberFormat="1" applyFont="1" applyAlignment="1">
      <alignment horizontal="center"/>
    </xf>
    <xf numFmtId="37" fontId="51" fillId="0" borderId="0" xfId="8" applyNumberFormat="1" applyFont="1" applyAlignment="1">
      <alignment horizontal="centerContinuous"/>
    </xf>
    <xf numFmtId="0" fontId="4" fillId="0" borderId="56" xfId="8" applyFont="1" applyBorder="1" applyAlignment="1">
      <alignment horizontal="centerContinuous"/>
    </xf>
    <xf numFmtId="0" fontId="2" fillId="0" borderId="34" xfId="8" applyFont="1" applyBorder="1"/>
    <xf numFmtId="0" fontId="34" fillId="0" borderId="34" xfId="8" applyFont="1" applyBorder="1"/>
    <xf numFmtId="169" fontId="29" fillId="0" borderId="34" xfId="8" applyNumberFormat="1" applyFont="1" applyBorder="1" applyAlignment="1">
      <alignment horizontal="center"/>
    </xf>
    <xf numFmtId="0" fontId="29" fillId="0" borderId="0" xfId="8" applyFont="1" applyAlignment="1">
      <alignment horizontal="center"/>
    </xf>
    <xf numFmtId="0" fontId="1" fillId="0" borderId="0" xfId="8" applyAlignment="1">
      <alignment horizontal="center"/>
    </xf>
    <xf numFmtId="0" fontId="2" fillId="0" borderId="0" xfId="8" applyFont="1" applyAlignment="1">
      <alignment horizontal="center"/>
    </xf>
    <xf numFmtId="37" fontId="51" fillId="0" borderId="53" xfId="8" applyNumberFormat="1" applyFont="1" applyBorder="1" applyAlignment="1">
      <alignment horizontal="centerContinuous"/>
    </xf>
    <xf numFmtId="0" fontId="1" fillId="0" borderId="53" xfId="8" applyBorder="1" applyAlignment="1">
      <alignment horizontal="centerContinuous"/>
    </xf>
    <xf numFmtId="169" fontId="2" fillId="0" borderId="25" xfId="8" applyNumberFormat="1" applyFont="1" applyBorder="1" applyAlignment="1">
      <alignment horizontal="center"/>
    </xf>
    <xf numFmtId="169" fontId="29" fillId="0" borderId="0" xfId="8" applyNumberFormat="1" applyFont="1"/>
    <xf numFmtId="169" fontId="1" fillId="0" borderId="0" xfId="8" applyNumberFormat="1"/>
    <xf numFmtId="0" fontId="29" fillId="0" borderId="0" xfId="8" applyFont="1" applyAlignment="1" applyProtection="1">
      <alignment vertical="center" wrapText="1"/>
      <protection locked="0"/>
    </xf>
    <xf numFmtId="0" fontId="1" fillId="0" borderId="0" xfId="8" applyAlignment="1" applyProtection="1">
      <alignment vertical="center" wrapText="1"/>
      <protection locked="0"/>
    </xf>
    <xf numFmtId="37" fontId="4" fillId="0" borderId="53" xfId="8" applyNumberFormat="1" applyFont="1" applyBorder="1"/>
    <xf numFmtId="37" fontId="37" fillId="0" borderId="57" xfId="8" applyNumberFormat="1" applyFont="1" applyBorder="1"/>
    <xf numFmtId="37" fontId="37" fillId="0" borderId="57" xfId="8" applyNumberFormat="1" applyFont="1" applyBorder="1" applyAlignment="1">
      <alignment horizontal="center"/>
    </xf>
    <xf numFmtId="0" fontId="37" fillId="0" borderId="58" xfId="8" applyFont="1" applyBorder="1" applyAlignment="1">
      <alignment horizontal="center"/>
    </xf>
    <xf numFmtId="0" fontId="37" fillId="0" borderId="26" xfId="8" applyFont="1" applyBorder="1" applyAlignment="1">
      <alignment horizontal="center" wrapText="1"/>
    </xf>
    <xf numFmtId="169" fontId="29" fillId="0" borderId="0" xfId="8" applyNumberFormat="1" applyFont="1" applyAlignment="1">
      <alignment horizontal="right"/>
    </xf>
    <xf numFmtId="37" fontId="35" fillId="0" borderId="0" xfId="8" applyNumberFormat="1" applyFont="1" applyAlignment="1">
      <alignment horizontal="center"/>
    </xf>
    <xf numFmtId="0" fontId="8" fillId="0" borderId="0" xfId="8" applyFont="1" applyAlignment="1">
      <alignment horizontal="center"/>
    </xf>
    <xf numFmtId="0" fontId="8" fillId="0" borderId="0" xfId="8" applyFont="1"/>
    <xf numFmtId="169" fontId="31" fillId="0" borderId="0" xfId="8" applyNumberFormat="1" applyFont="1"/>
    <xf numFmtId="169" fontId="2" fillId="0" borderId="0" xfId="8" applyNumberFormat="1" applyFont="1" applyAlignment="1">
      <alignment horizontal="right"/>
    </xf>
    <xf numFmtId="2" fontId="2" fillId="0" borderId="0" xfId="8" applyNumberFormat="1" applyFont="1" applyAlignment="1">
      <alignment horizontal="right"/>
    </xf>
    <xf numFmtId="37" fontId="4" fillId="0" borderId="57" xfId="8" applyNumberFormat="1" applyFont="1" applyBorder="1"/>
    <xf numFmtId="37" fontId="4" fillId="0" borderId="57" xfId="8" applyNumberFormat="1" applyFont="1" applyBorder="1" applyAlignment="1">
      <alignment horizontal="center"/>
    </xf>
    <xf numFmtId="0" fontId="42" fillId="0" borderId="25" xfId="8" applyFont="1" applyBorder="1" applyAlignment="1">
      <alignment horizontal="left" wrapText="1"/>
    </xf>
    <xf numFmtId="0" fontId="42" fillId="0" borderId="0" xfId="8" applyFont="1" applyAlignment="1">
      <alignment vertical="center" wrapText="1"/>
    </xf>
    <xf numFmtId="0" fontId="29" fillId="0" borderId="0" xfId="8" applyFont="1" applyAlignment="1">
      <alignment vertical="center" wrapText="1"/>
    </xf>
    <xf numFmtId="0" fontId="42" fillId="0" borderId="0" xfId="8" applyFont="1" applyAlignment="1">
      <alignment horizontal="left" wrapText="1"/>
    </xf>
    <xf numFmtId="0" fontId="42" fillId="0" borderId="0" xfId="8" applyFont="1" applyAlignment="1">
      <alignment vertical="top" wrapText="1"/>
    </xf>
    <xf numFmtId="0" fontId="29" fillId="0" borderId="0" xfId="8" applyFont="1" applyAlignment="1">
      <alignment vertical="top" wrapText="1"/>
    </xf>
    <xf numFmtId="37" fontId="7" fillId="0" borderId="0" xfId="8" applyNumberFormat="1" applyFont="1" applyAlignment="1">
      <alignment horizontal="center"/>
    </xf>
    <xf numFmtId="0" fontId="37" fillId="0" borderId="57" xfId="8" applyFont="1" applyBorder="1" applyAlignment="1">
      <alignment horizontal="center"/>
    </xf>
    <xf numFmtId="0" fontId="37" fillId="0" borderId="56" xfId="8" applyFont="1" applyBorder="1" applyAlignment="1">
      <alignment horizontal="center"/>
    </xf>
    <xf numFmtId="0" fontId="37" fillId="0" borderId="26" xfId="8" applyFont="1" applyBorder="1" applyAlignment="1">
      <alignment horizontal="center"/>
    </xf>
    <xf numFmtId="37" fontId="35" fillId="0" borderId="0" xfId="8" applyNumberFormat="1" applyFont="1" applyAlignment="1">
      <alignment horizontal="center"/>
    </xf>
    <xf numFmtId="0" fontId="42" fillId="0" borderId="0" xfId="8" applyFont="1" applyAlignment="1">
      <alignment horizontal="left" vertical="top" wrapText="1"/>
    </xf>
    <xf numFmtId="0" fontId="42" fillId="0" borderId="25" xfId="8" applyFont="1" applyBorder="1" applyAlignment="1">
      <alignment horizontal="left" vertical="top" wrapText="1"/>
    </xf>
    <xf numFmtId="0" fontId="4" fillId="0" borderId="57" xfId="8" applyFont="1" applyBorder="1" applyAlignment="1">
      <alignment horizontal="center"/>
    </xf>
    <xf numFmtId="0" fontId="4" fillId="0" borderId="56" xfId="8" applyFont="1" applyBorder="1" applyAlignment="1">
      <alignment horizontal="center"/>
    </xf>
    <xf numFmtId="0" fontId="4" fillId="0" borderId="26" xfId="8" applyFont="1" applyBorder="1" applyAlignment="1">
      <alignment horizontal="center"/>
    </xf>
    <xf numFmtId="37" fontId="50" fillId="0" borderId="0" xfId="8" applyNumberFormat="1" applyFont="1" applyAlignment="1">
      <alignment horizontal="center"/>
    </xf>
    <xf numFmtId="0" fontId="42" fillId="0" borderId="0" xfId="8" applyFont="1" applyAlignment="1">
      <alignment wrapText="1"/>
    </xf>
    <xf numFmtId="0" fontId="29" fillId="0" borderId="0" xfId="8" applyFont="1"/>
    <xf numFmtId="0" fontId="44" fillId="0" borderId="0" xfId="8" applyFont="1" applyAlignment="1">
      <alignment vertical="top" wrapText="1"/>
    </xf>
    <xf numFmtId="0" fontId="31" fillId="0" borderId="0" xfId="8" applyFont="1" applyAlignment="1">
      <alignment vertical="top" wrapText="1"/>
    </xf>
    <xf numFmtId="0" fontId="1" fillId="0" borderId="0" xfId="8" applyAlignment="1">
      <alignment vertical="top" wrapText="1"/>
    </xf>
    <xf numFmtId="0" fontId="34" fillId="0" borderId="0" xfId="8" applyFont="1" applyAlignment="1">
      <alignment vertical="top" wrapText="1"/>
    </xf>
    <xf numFmtId="164" fontId="4" fillId="0" borderId="7" xfId="0" applyFont="1" applyBorder="1" applyAlignment="1">
      <alignment horizontal="center" wrapText="1"/>
    </xf>
    <xf numFmtId="164" fontId="5" fillId="0" borderId="8" xfId="0" applyFont="1" applyBorder="1" applyAlignment="1">
      <alignment horizontal="center" wrapText="1"/>
    </xf>
  </cellXfs>
  <cellStyles count="13">
    <cellStyle name="40% - Accent3 2" xfId="12" xr:uid="{3DA2A2B2-C52F-4AD1-9610-7AB73F4D7A98}"/>
    <cellStyle name="CalcNumNew" xfId="7" xr:uid="{00000000-0005-0000-0000-000000000000}"/>
    <cellStyle name="CalcNumOld" xfId="6" xr:uid="{00000000-0005-0000-0000-000001000000}"/>
    <cellStyle name="CalcPctNew" xfId="5" xr:uid="{00000000-0005-0000-0000-000002000000}"/>
    <cellStyle name="CalcPctOld" xfId="4" xr:uid="{00000000-0005-0000-0000-000003000000}"/>
    <cellStyle name="Comma 2" xfId="9" xr:uid="{7431BC62-2B01-4A1A-A85F-FFAA03AC9E0C}"/>
    <cellStyle name="Comma 3" xfId="10" xr:uid="{407C071B-BF1A-486B-AA0A-7F006C4A82DC}"/>
    <cellStyle name="DataNew" xfId="3" xr:uid="{00000000-0005-0000-0000-000004000000}"/>
    <cellStyle name="DataOld" xfId="2" xr:uid="{00000000-0005-0000-0000-000005000000}"/>
    <cellStyle name="DataOldLock" xfId="1" xr:uid="{00000000-0005-0000-0000-000006000000}"/>
    <cellStyle name="Normal" xfId="0" builtinId="0" customBuiltin="1"/>
    <cellStyle name="Normal 2" xfId="8" xr:uid="{DF6CD6A7-3813-4293-86D7-486BC52BD0B5}"/>
    <cellStyle name="Percent 2" xfId="11" xr:uid="{4033D3BC-3192-45AD-B4E2-C8F41A3C9F04}"/>
  </cellStyles>
  <dxfs count="1837">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481.642706365739" createdVersion="6" refreshedVersion="6" minRefreshableVersion="3" recordCount="637" xr:uid="{7C211EF4-3721-4089-9D80-48A44C1C6584}">
  <cacheSource type="worksheet">
    <worksheetSource ref="A6:AG643" sheet="05InstructionTypes"/>
  </cacheSource>
  <cacheFields count="7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6"/>
        <n v="8"/>
        <n v="9"/>
        <n v="10"/>
        <n v="12"/>
        <n v="13"/>
        <n v="15"/>
        <m/>
        <n v="7"/>
        <n v="14"/>
        <n v="99" u="1"/>
        <n v="16" u="1"/>
      </sharedItems>
      <fieldGroup par="70"/>
    </cacheField>
    <cacheField name="OLD-Tot UG SCH Calc" numFmtId="0">
      <sharedItems containsString="0" containsBlank="1" containsNumber="1" minValue="0" maxValue="1364503"/>
    </cacheField>
    <cacheField name="NEW-Tot UG SCH Calc" numFmtId="0">
      <sharedItems containsString="0" containsBlank="1" containsNumber="1" minValue="0" maxValue="1343994"/>
    </cacheField>
    <cacheField name="Old-UG OnC Trad" numFmtId="0">
      <sharedItems containsString="0" containsBlank="1" containsNumber="1" minValue="0" maxValue="1231286"/>
    </cacheField>
    <cacheField name="New-UG OnC Trad" numFmtId="0">
      <sharedItems containsString="0" containsBlank="1" containsNumber="1" minValue="0" maxValue="1200118"/>
    </cacheField>
    <cacheField name="Old-UG OffC Trad" numFmtId="0">
      <sharedItems containsString="0" containsBlank="1" containsNumber="1" minValue="0" maxValue="263569"/>
    </cacheField>
    <cacheField name="New-UG OffC Trad" numFmtId="0">
      <sharedItems containsString="0" containsBlank="1" containsNumber="1" minValue="0" maxValue="253330"/>
    </cacheField>
    <cacheField name="Old-UG EL Web" numFmtId="0">
      <sharedItems containsString="0" containsBlank="1" containsNumber="1" minValue="0" maxValue="725172"/>
    </cacheField>
    <cacheField name="Old-UG EL CV" numFmtId="0">
      <sharedItems containsString="0" containsBlank="1" containsNumber="1" containsInteger="1" minValue="0" maxValue="27135"/>
    </cacheField>
    <cacheField name="Old-UG EL O" numFmtId="0">
      <sharedItems containsString="0" containsBlank="1" containsNumber="1" containsInteger="1" minValue="0" maxValue="66968"/>
    </cacheField>
    <cacheField name="New-UG EL Web" numFmtId="0">
      <sharedItems containsString="0" containsBlank="1" containsNumber="1" minValue="0" maxValue="748412"/>
    </cacheField>
    <cacheField name="New-UG EL CV" numFmtId="0">
      <sharedItems containsString="0" containsBlank="1" containsNumber="1" containsInteger="1" minValue="0" maxValue="34092"/>
    </cacheField>
    <cacheField name="New-UG EL O" numFmtId="0">
      <sharedItems containsString="0" containsBlank="1" containsNumber="1" containsInteger="1" minValue="0" maxValue="67586"/>
    </cacheField>
    <cacheField name="Old-UG Cor" numFmtId="0">
      <sharedItems containsString="0" containsBlank="1" containsNumber="1" containsInteger="1" minValue="0" maxValue="3855"/>
    </cacheField>
    <cacheField name="New-UG Cor" numFmtId="0">
      <sharedItems containsString="0" containsBlank="1" containsNumber="1" containsInteger="1" minValue="0" maxValue="3724"/>
    </cacheField>
    <cacheField name="Old-Tot G SCH Calc" numFmtId="0">
      <sharedItems containsString="0" containsBlank="1" containsNumber="1" minValue="0" maxValue="278585.5"/>
    </cacheField>
    <cacheField name="New-Tot G SCH Calc" numFmtId="0">
      <sharedItems containsString="0" containsBlank="1" containsNumber="1" minValue="0" maxValue="278585.5"/>
    </cacheField>
    <cacheField name="Old-G OnC Trad" numFmtId="0">
      <sharedItems containsString="0" containsBlank="1" containsNumber="1" minValue="0" maxValue="245059.5"/>
    </cacheField>
    <cacheField name="New-G OnC Trad" numFmtId="0">
      <sharedItems containsBlank="1" containsMixedTypes="1" containsNumber="1" minValue="0" maxValue="243712.5"/>
    </cacheField>
    <cacheField name="Old-G OffC Trad" numFmtId="0">
      <sharedItems containsString="0" containsBlank="1" containsNumber="1" minValue="0" maxValue="72570.5"/>
    </cacheField>
    <cacheField name="New-G OffC Trad" numFmtId="0">
      <sharedItems containsString="0" containsBlank="1" containsNumber="1" minValue="0" maxValue="93810.5"/>
    </cacheField>
    <cacheField name="Old-G EL Web" numFmtId="0">
      <sharedItems containsString="0" containsBlank="1" containsNumber="1" minValue="0" maxValue="185950"/>
    </cacheField>
    <cacheField name="Old-G EL CV" numFmtId="0">
      <sharedItems containsString="0" containsBlank="1" containsNumber="1" containsInteger="1" minValue="0" maxValue="11237"/>
    </cacheField>
    <cacheField name="Old-G EL O" numFmtId="0">
      <sharedItems containsString="0" containsBlank="1" containsNumber="1" containsInteger="1" minValue="0" maxValue="6651"/>
    </cacheField>
    <cacheField name="New-G EL Web" numFmtId="0">
      <sharedItems containsString="0" containsBlank="1" containsNumber="1" minValue="0" maxValue="204717"/>
    </cacheField>
    <cacheField name="New-G EL CV" numFmtId="0">
      <sharedItems containsString="0" containsBlank="1" containsNumber="1" minValue="0" maxValue="11664"/>
    </cacheField>
    <cacheField name="New-G EL O" numFmtId="0">
      <sharedItems containsString="0" containsBlank="1" containsNumber="1" containsInteger="1" minValue="0" maxValue="8360"/>
    </cacheField>
    <cacheField name="Old-G Cor" numFmtId="0">
      <sharedItems containsString="0" containsBlank="1" containsNumber="1" containsInteger="1" minValue="0" maxValue="3349"/>
    </cacheField>
    <cacheField name="New-G Cor" numFmtId="0">
      <sharedItems containsString="0" containsBlank="1" containsNumber="1" containsInteger="1" minValue="0" maxValue="2773"/>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3"/>
          <x v="4"/>
          <x v="4"/>
          <x v="4"/>
          <x v="5"/>
          <x v="5"/>
          <x v="3"/>
          <x v="6"/>
          <x v="4"/>
          <x v="1"/>
          <x v="0"/>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7">
  <r>
    <x v="0"/>
    <s v="Auburn University"/>
    <m/>
    <n v="100858"/>
    <x v="0"/>
    <n v="651666"/>
    <n v="693807"/>
    <n v="614587"/>
    <n v="648072"/>
    <m/>
    <m/>
    <n v="37079"/>
    <m/>
    <m/>
    <n v="45735"/>
    <m/>
    <m/>
    <m/>
    <m/>
    <n v="103440"/>
    <n v="108134"/>
    <n v="80954"/>
    <n v="82672"/>
    <n v="2268"/>
    <n v="2582"/>
    <n v="20218"/>
    <m/>
    <m/>
    <n v="22880"/>
    <m/>
    <m/>
    <m/>
    <m/>
  </r>
  <r>
    <x v="0"/>
    <s v="University of Alabama "/>
    <m/>
    <n v="100751"/>
    <x v="0"/>
    <n v="909843"/>
    <n v="929726"/>
    <n v="827187"/>
    <n v="840744"/>
    <n v="477"/>
    <n v="281"/>
    <n v="80757"/>
    <n v="1422"/>
    <m/>
    <n v="86904"/>
    <n v="1797"/>
    <m/>
    <m/>
    <m/>
    <n v="96912"/>
    <n v="97386"/>
    <n v="75212"/>
    <n v="73327"/>
    <n v="3008"/>
    <n v="1817"/>
    <n v="18488"/>
    <n v="204"/>
    <m/>
    <n v="22041"/>
    <n v="201"/>
    <m/>
    <m/>
    <m/>
  </r>
  <r>
    <x v="0"/>
    <s v="University of Alabama at Birmingham"/>
    <s v="Met the criteria for Four-Year 1 in 2016-17 and 2017-18."/>
    <n v="100663"/>
    <x v="1"/>
    <n v="273551.5"/>
    <n v="295175"/>
    <n v="199337.5"/>
    <n v="207993"/>
    <n v="186"/>
    <n v="228"/>
    <n v="73968"/>
    <n v="60"/>
    <m/>
    <n v="86894"/>
    <n v="60"/>
    <m/>
    <m/>
    <m/>
    <n v="43330"/>
    <n v="50185"/>
    <n v="26796"/>
    <n v="29946"/>
    <n v="176"/>
    <n v="54"/>
    <n v="16223"/>
    <n v="135"/>
    <m/>
    <n v="20056"/>
    <n v="129"/>
    <m/>
    <m/>
    <m/>
  </r>
  <r>
    <x v="0"/>
    <s v="University of Alabama in Huntsville"/>
    <m/>
    <n v="100706"/>
    <x v="1"/>
    <n v="166306"/>
    <n v="184226"/>
    <n v="161965"/>
    <n v="174986"/>
    <m/>
    <m/>
    <n v="4341"/>
    <m/>
    <m/>
    <n v="9240"/>
    <m/>
    <m/>
    <m/>
    <m/>
    <n v="29506"/>
    <n v="31413"/>
    <n v="21456"/>
    <n v="21910"/>
    <m/>
    <m/>
    <n v="8050"/>
    <m/>
    <m/>
    <n v="9503"/>
    <m/>
    <m/>
    <m/>
    <m/>
  </r>
  <r>
    <x v="0"/>
    <s v="Alabama Agricultural &amp; Mechanical University"/>
    <m/>
    <n v="100654"/>
    <x v="2"/>
    <n v="120596"/>
    <n v="135883"/>
    <n v="113677"/>
    <n v="125764"/>
    <m/>
    <n v="381"/>
    <n v="6919"/>
    <m/>
    <m/>
    <n v="9738"/>
    <m/>
    <m/>
    <m/>
    <m/>
    <n v="18715"/>
    <n v="17205"/>
    <n v="17751"/>
    <n v="14812"/>
    <m/>
    <n v="331"/>
    <n v="964"/>
    <m/>
    <m/>
    <n v="2062"/>
    <m/>
    <m/>
    <m/>
    <m/>
  </r>
  <r>
    <x v="0"/>
    <s v="Jacksonville State University "/>
    <m/>
    <n v="101480"/>
    <x v="2"/>
    <n v="187104"/>
    <n v="187997"/>
    <n v="132502"/>
    <n v="129475"/>
    <n v="3104"/>
    <n v="2942"/>
    <n v="50265"/>
    <n v="1233"/>
    <n v="0"/>
    <n v="54626"/>
    <n v="954"/>
    <n v="0"/>
    <m/>
    <m/>
    <n v="14986"/>
    <n v="16190"/>
    <n v="3966"/>
    <n v="3791"/>
    <m/>
    <m/>
    <n v="11020"/>
    <n v="0"/>
    <m/>
    <n v="12399"/>
    <m/>
    <m/>
    <m/>
    <m/>
  </r>
  <r>
    <x v="0"/>
    <s v="Troy University"/>
    <m/>
    <n v="102368"/>
    <x v="2"/>
    <n v="272341"/>
    <n v="277943"/>
    <n v="214024"/>
    <n v="216564"/>
    <n v="0"/>
    <n v="0"/>
    <n v="57930"/>
    <n v="0"/>
    <n v="387"/>
    <n v="61379"/>
    <n v="0"/>
    <n v="0"/>
    <m/>
    <n v="0"/>
    <n v="36503"/>
    <n v="34799"/>
    <n v="23287"/>
    <n v="21462"/>
    <n v="21"/>
    <n v="0"/>
    <n v="12700"/>
    <n v="0"/>
    <n v="495"/>
    <n v="13337"/>
    <n v="0"/>
    <n v="0"/>
    <m/>
    <n v="0"/>
  </r>
  <r>
    <x v="0"/>
    <s v="University of South Alabama"/>
    <s v="Met the criteria for Four-Year 2 in 2016-17 and 2017-18."/>
    <n v="102094"/>
    <x v="2"/>
    <n v="295806"/>
    <n v="283312"/>
    <n v="259483"/>
    <n v="243731"/>
    <n v="816"/>
    <n v="366"/>
    <n v="35507"/>
    <m/>
    <m/>
    <n v="39215"/>
    <m/>
    <m/>
    <m/>
    <m/>
    <n v="19703"/>
    <n v="18045"/>
    <n v="14276"/>
    <n v="12701"/>
    <m/>
    <m/>
    <n v="5427"/>
    <m/>
    <m/>
    <n v="5344"/>
    <m/>
    <m/>
    <m/>
    <m/>
  </r>
  <r>
    <x v="0"/>
    <s v="Alabama State University "/>
    <m/>
    <n v="100724"/>
    <x v="3"/>
    <n v="146482"/>
    <n v="136889"/>
    <n v="130727"/>
    <n v="118679"/>
    <n v="0"/>
    <n v="0"/>
    <n v="15755"/>
    <m/>
    <m/>
    <n v="18210"/>
    <m/>
    <m/>
    <m/>
    <m/>
    <n v="14175"/>
    <n v="14183"/>
    <n v="11985"/>
    <n v="11707"/>
    <n v="0"/>
    <m/>
    <n v="2190"/>
    <m/>
    <m/>
    <n v="2476"/>
    <m/>
    <m/>
    <m/>
    <m/>
  </r>
  <r>
    <x v="0"/>
    <s v="Auburn University at Montgomery"/>
    <m/>
    <n v="100830"/>
    <x v="3"/>
    <n v="105529"/>
    <n v="108549"/>
    <n v="85468"/>
    <n v="84448"/>
    <n v="189"/>
    <n v="272"/>
    <n v="19872"/>
    <m/>
    <m/>
    <n v="23829"/>
    <m/>
    <m/>
    <m/>
    <m/>
    <n v="9963"/>
    <n v="9726"/>
    <n v="4492"/>
    <n v="3758"/>
    <n v="0"/>
    <n v="0"/>
    <n v="5471"/>
    <m/>
    <m/>
    <n v="5968"/>
    <m/>
    <m/>
    <m/>
    <m/>
  </r>
  <r>
    <x v="0"/>
    <s v="University of North Alabama"/>
    <m/>
    <n v="101879"/>
    <x v="2"/>
    <n v="160248"/>
    <n v="159806"/>
    <n v="130612"/>
    <n v="126835"/>
    <m/>
    <m/>
    <n v="29636"/>
    <m/>
    <m/>
    <n v="32971"/>
    <m/>
    <m/>
    <m/>
    <m/>
    <n v="16454"/>
    <n v="17334"/>
    <n v="6731"/>
    <n v="4150"/>
    <m/>
    <m/>
    <n v="9723"/>
    <m/>
    <m/>
    <n v="13184"/>
    <m/>
    <m/>
    <m/>
    <m/>
  </r>
  <r>
    <x v="0"/>
    <s v="University of Montevallo"/>
    <m/>
    <n v="101709"/>
    <x v="4"/>
    <n v="67694"/>
    <n v="64610"/>
    <n v="64490"/>
    <n v="61015"/>
    <n v="12"/>
    <n v="0"/>
    <n v="3192"/>
    <m/>
    <m/>
    <n v="3595"/>
    <m/>
    <m/>
    <m/>
    <m/>
    <n v="7914"/>
    <n v="7317"/>
    <n v="6660"/>
    <n v="5803"/>
    <n v="12"/>
    <n v="357"/>
    <n v="1242"/>
    <m/>
    <m/>
    <n v="1157"/>
    <m/>
    <m/>
    <m/>
    <m/>
  </r>
  <r>
    <x v="0"/>
    <s v="University of West Alabama"/>
    <m/>
    <n v="101587"/>
    <x v="4"/>
    <n v="55155"/>
    <n v="57951"/>
    <n v="48354"/>
    <n v="48758"/>
    <n v="372"/>
    <n v="336"/>
    <n v="6429"/>
    <m/>
    <m/>
    <n v="8857"/>
    <m/>
    <m/>
    <m/>
    <m/>
    <n v="35704"/>
    <n v="44276"/>
    <n v="2047"/>
    <n v="1474"/>
    <n v="0"/>
    <m/>
    <n v="33657"/>
    <m/>
    <m/>
    <n v="42802"/>
    <m/>
    <m/>
    <m/>
    <m/>
  </r>
  <r>
    <x v="0"/>
    <s v="Athens State University"/>
    <m/>
    <s v="100812"/>
    <x v="5"/>
    <n v="69518"/>
    <n v="67015"/>
    <n v="14275"/>
    <n v="12957"/>
    <n v="2877"/>
    <n v="2382"/>
    <n v="52366"/>
    <m/>
    <m/>
    <n v="51676"/>
    <m/>
    <m/>
    <m/>
    <m/>
    <n v="309"/>
    <n v="1236"/>
    <m/>
    <n v="18"/>
    <m/>
    <m/>
    <n v="309"/>
    <m/>
    <m/>
    <n v="1218"/>
    <m/>
    <m/>
    <m/>
    <m/>
  </r>
  <r>
    <x v="0"/>
    <s v="Jefferson State Community College"/>
    <m/>
    <n v="101505"/>
    <x v="6"/>
    <n v="169629"/>
    <n v="168065"/>
    <n v="90257"/>
    <n v="85830"/>
    <n v="23647"/>
    <n v="23975"/>
    <n v="54111"/>
    <n v="1614"/>
    <n v="0"/>
    <n v="56666"/>
    <n v="1594"/>
    <m/>
    <m/>
    <m/>
    <n v="0"/>
    <n v="0"/>
    <m/>
    <m/>
    <m/>
    <m/>
    <m/>
    <m/>
    <m/>
    <m/>
    <m/>
    <m/>
    <m/>
    <m/>
  </r>
  <r>
    <x v="0"/>
    <s v="John C. Calhoun State Community College "/>
    <m/>
    <n v="101514"/>
    <x v="6"/>
    <n v="206179"/>
    <n v="199357"/>
    <n v="141754"/>
    <n v="132189"/>
    <n v="0"/>
    <n v="0"/>
    <n v="64425"/>
    <m/>
    <m/>
    <n v="67168"/>
    <m/>
    <m/>
    <m/>
    <m/>
    <n v="0"/>
    <n v="0"/>
    <m/>
    <m/>
    <m/>
    <m/>
    <m/>
    <m/>
    <m/>
    <m/>
    <m/>
    <m/>
    <m/>
    <m/>
  </r>
  <r>
    <x v="0"/>
    <s v="Bevill State Community College"/>
    <m/>
    <n v="102429"/>
    <x v="7"/>
    <n v="86647"/>
    <n v="84465"/>
    <n v="21712"/>
    <n v="21157"/>
    <n v="41583"/>
    <n v="40500"/>
    <n v="19177"/>
    <n v="4175"/>
    <n v="0"/>
    <n v="20181"/>
    <n v="2627"/>
    <m/>
    <m/>
    <m/>
    <n v="0"/>
    <n v="0"/>
    <m/>
    <m/>
    <m/>
    <m/>
    <m/>
    <m/>
    <m/>
    <m/>
    <m/>
    <m/>
    <m/>
    <m/>
  </r>
  <r>
    <x v="0"/>
    <s v="Bishop State Community College"/>
    <m/>
    <n v="102030"/>
    <x v="7"/>
    <n v="69087"/>
    <n v="70231"/>
    <n v="60487"/>
    <n v="60730"/>
    <n v="306"/>
    <n v="342"/>
    <n v="6839"/>
    <m/>
    <n v="1455"/>
    <n v="7540"/>
    <m/>
    <n v="1619"/>
    <n v="0"/>
    <m/>
    <n v="0"/>
    <n v="0"/>
    <m/>
    <m/>
    <m/>
    <m/>
    <m/>
    <m/>
    <m/>
    <m/>
    <m/>
    <m/>
    <m/>
    <m/>
  </r>
  <r>
    <x v="0"/>
    <s v="Enterprise-Ozark Community College"/>
    <m/>
    <n v="101143"/>
    <x v="8"/>
    <n v="40792"/>
    <n v="39685"/>
    <n v="30132"/>
    <n v="29776"/>
    <n v="0"/>
    <n v="0"/>
    <n v="10660"/>
    <m/>
    <n v="0"/>
    <n v="9909"/>
    <m/>
    <m/>
    <m/>
    <m/>
    <n v="0"/>
    <n v="0"/>
    <m/>
    <m/>
    <m/>
    <m/>
    <m/>
    <m/>
    <m/>
    <m/>
    <m/>
    <m/>
    <m/>
    <m/>
  </r>
  <r>
    <x v="0"/>
    <s v="Gadsden State Community College"/>
    <m/>
    <n v="101240"/>
    <x v="7"/>
    <n v="117963"/>
    <n v="113194"/>
    <n v="91793"/>
    <n v="85136"/>
    <n v="0"/>
    <n v="0"/>
    <n v="26170"/>
    <m/>
    <n v="0"/>
    <n v="28058"/>
    <m/>
    <m/>
    <m/>
    <m/>
    <n v="0"/>
    <n v="0"/>
    <m/>
    <m/>
    <m/>
    <m/>
    <m/>
    <m/>
    <m/>
    <m/>
    <m/>
    <m/>
    <m/>
    <m/>
  </r>
  <r>
    <x v="0"/>
    <s v="George C. Wallace State Community College - Dothan"/>
    <m/>
    <n v="101286"/>
    <x v="7"/>
    <n v="99928"/>
    <n v="98184"/>
    <n v="72473"/>
    <n v="67703"/>
    <n v="5834"/>
    <n v="7391"/>
    <n v="21621"/>
    <m/>
    <n v="0"/>
    <n v="23090"/>
    <m/>
    <m/>
    <m/>
    <m/>
    <n v="0"/>
    <n v="0"/>
    <m/>
    <m/>
    <m/>
    <m/>
    <m/>
    <m/>
    <m/>
    <m/>
    <m/>
    <m/>
    <m/>
    <m/>
  </r>
  <r>
    <x v="0"/>
    <s v="James H. Faulkner State Community College"/>
    <m/>
    <n v="101161"/>
    <x v="7"/>
    <n v="114993"/>
    <n v="64818"/>
    <n v="51227"/>
    <n v="24218"/>
    <n v="33031"/>
    <n v="19041"/>
    <n v="29826"/>
    <m/>
    <n v="909"/>
    <n v="21559"/>
    <m/>
    <m/>
    <n v="0"/>
    <m/>
    <n v="0"/>
    <n v="0"/>
    <m/>
    <m/>
    <m/>
    <m/>
    <m/>
    <m/>
    <m/>
    <m/>
    <m/>
    <m/>
    <m/>
    <m/>
  </r>
  <r>
    <x v="0"/>
    <s v="Lawson State Community College "/>
    <m/>
    <n v="101569"/>
    <x v="7"/>
    <n v="74362"/>
    <n v="72421"/>
    <n v="63558"/>
    <n v="61566"/>
    <n v="361"/>
    <n v="603"/>
    <n v="10443"/>
    <m/>
    <n v="0"/>
    <n v="10252"/>
    <m/>
    <m/>
    <m/>
    <m/>
    <n v="0"/>
    <n v="0"/>
    <m/>
    <m/>
    <m/>
    <m/>
    <m/>
    <m/>
    <m/>
    <m/>
    <m/>
    <m/>
    <m/>
    <m/>
  </r>
  <r>
    <x v="0"/>
    <s v="Northeast Alabama State Community College "/>
    <s v="Reclassified: Met the criteria for Two-Year 3 in 2015-16, 2016-17, and 2017-18."/>
    <n v="101897"/>
    <x v="8"/>
    <n v="57174"/>
    <n v="56464"/>
    <n v="36993"/>
    <n v="34504"/>
    <n v="4647"/>
    <n v="4596"/>
    <n v="15534"/>
    <m/>
    <m/>
    <n v="17364"/>
    <m/>
    <m/>
    <m/>
    <m/>
    <n v="0"/>
    <n v="0"/>
    <m/>
    <m/>
    <m/>
    <m/>
    <m/>
    <m/>
    <m/>
    <m/>
    <m/>
    <m/>
    <m/>
    <m/>
  </r>
  <r>
    <x v="0"/>
    <s v="Northwest-Shoals Community College"/>
    <m/>
    <n v="101736"/>
    <x v="7"/>
    <n v="74377"/>
    <n v="69257"/>
    <n v="62214"/>
    <n v="57223"/>
    <n v="57"/>
    <n v="45"/>
    <n v="11051"/>
    <n v="1055"/>
    <n v="0"/>
    <n v="11114"/>
    <n v="875"/>
    <m/>
    <m/>
    <m/>
    <n v="0"/>
    <n v="0"/>
    <m/>
    <m/>
    <m/>
    <m/>
    <m/>
    <m/>
    <m/>
    <m/>
    <m/>
    <m/>
    <m/>
    <m/>
  </r>
  <r>
    <x v="0"/>
    <s v="Shelton State Community College"/>
    <m/>
    <n v="102067"/>
    <x v="7"/>
    <n v="108452"/>
    <n v="108232"/>
    <n v="92884"/>
    <n v="86669"/>
    <n v="0"/>
    <n v="0"/>
    <n v="15568"/>
    <m/>
    <n v="0"/>
    <n v="21563"/>
    <m/>
    <m/>
    <m/>
    <m/>
    <n v="0"/>
    <n v="0"/>
    <m/>
    <m/>
    <m/>
    <m/>
    <m/>
    <m/>
    <m/>
    <m/>
    <m/>
    <m/>
    <m/>
    <m/>
  </r>
  <r>
    <x v="0"/>
    <s v="Southern Union State Community College"/>
    <m/>
    <n v="251260"/>
    <x v="7"/>
    <n v="115248"/>
    <n v="114991"/>
    <n v="14599"/>
    <n v="14612"/>
    <n v="82176"/>
    <n v="81614"/>
    <n v="18473"/>
    <m/>
    <m/>
    <n v="18765"/>
    <m/>
    <m/>
    <m/>
    <m/>
    <n v="0"/>
    <n v="0"/>
    <m/>
    <m/>
    <m/>
    <m/>
    <m/>
    <m/>
    <m/>
    <m/>
    <m/>
    <m/>
    <m/>
    <m/>
  </r>
  <r>
    <x v="0"/>
    <s v="Wallace Community College - Hanceville"/>
    <m/>
    <n v="101295"/>
    <x v="7"/>
    <n v="129207"/>
    <n v="125706"/>
    <n v="96147"/>
    <n v="93037"/>
    <n v="0"/>
    <n v="0"/>
    <n v="33060"/>
    <m/>
    <m/>
    <n v="32669"/>
    <m/>
    <m/>
    <m/>
    <m/>
    <n v="0"/>
    <n v="0"/>
    <m/>
    <m/>
    <m/>
    <m/>
    <m/>
    <m/>
    <m/>
    <m/>
    <m/>
    <m/>
    <m/>
    <m/>
  </r>
  <r>
    <x v="0"/>
    <s v="Alabama Southern Community College"/>
    <m/>
    <n v="101949"/>
    <x v="8"/>
    <n v="32652"/>
    <n v="16895"/>
    <n v="11818"/>
    <n v="7045"/>
    <n v="17117"/>
    <n v="6815"/>
    <n v="3717"/>
    <m/>
    <n v="0"/>
    <n v="3035"/>
    <m/>
    <m/>
    <m/>
    <m/>
    <n v="0"/>
    <n v="0"/>
    <m/>
    <m/>
    <m/>
    <m/>
    <m/>
    <m/>
    <m/>
    <m/>
    <m/>
    <m/>
    <m/>
    <m/>
  </r>
  <r>
    <x v="0"/>
    <s v="Central Alabama Community College"/>
    <m/>
    <n v="100760"/>
    <x v="8"/>
    <n v="40957"/>
    <n v="39533"/>
    <n v="31470"/>
    <n v="15563"/>
    <n v="0"/>
    <n v="0"/>
    <n v="9487"/>
    <m/>
    <n v="0"/>
    <n v="23970"/>
    <m/>
    <m/>
    <m/>
    <m/>
    <n v="0"/>
    <n v="0"/>
    <m/>
    <m/>
    <m/>
    <m/>
    <m/>
    <m/>
    <m/>
    <m/>
    <m/>
    <m/>
    <m/>
    <m/>
  </r>
  <r>
    <x v="0"/>
    <s v="Chattahoochee Valley State Community College "/>
    <m/>
    <n v="101028"/>
    <x v="8"/>
    <n v="38520"/>
    <n v="35281"/>
    <n v="35304"/>
    <n v="31519"/>
    <n v="217"/>
    <n v="165"/>
    <n v="2999"/>
    <m/>
    <n v="0"/>
    <n v="3597"/>
    <m/>
    <m/>
    <m/>
    <m/>
    <n v="0"/>
    <n v="0"/>
    <m/>
    <m/>
    <m/>
    <m/>
    <m/>
    <m/>
    <m/>
    <m/>
    <m/>
    <m/>
    <m/>
    <m/>
  </r>
  <r>
    <x v="0"/>
    <s v="George Corley Wallace State Community College - Selma"/>
    <m/>
    <n v="101301"/>
    <x v="8"/>
    <n v="43915"/>
    <n v="40756"/>
    <n v="28237"/>
    <n v="26128"/>
    <n v="0"/>
    <n v="0"/>
    <n v="15678"/>
    <m/>
    <m/>
    <n v="14628"/>
    <m/>
    <m/>
    <m/>
    <m/>
    <n v="0"/>
    <n v="0"/>
    <m/>
    <m/>
    <m/>
    <m/>
    <m/>
    <m/>
    <m/>
    <m/>
    <m/>
    <m/>
    <m/>
    <m/>
  </r>
  <r>
    <x v="0"/>
    <s v="Jefferson Davis Community College"/>
    <m/>
    <n v="101499"/>
    <x v="8"/>
    <n v="27600"/>
    <n v="14839"/>
    <n v="11974"/>
    <n v="7207"/>
    <n v="11803"/>
    <n v="4538"/>
    <n v="3788"/>
    <m/>
    <n v="35"/>
    <n v="2581"/>
    <m/>
    <n v="513"/>
    <n v="0"/>
    <m/>
    <n v="0"/>
    <n v="0"/>
    <m/>
    <m/>
    <m/>
    <m/>
    <m/>
    <m/>
    <m/>
    <m/>
    <m/>
    <m/>
    <m/>
    <m/>
  </r>
  <r>
    <x v="0"/>
    <s v="Lurleen B. Wallace Community College "/>
    <m/>
    <n v="101602"/>
    <x v="8"/>
    <n v="41792"/>
    <n v="40071"/>
    <n v="29209"/>
    <n v="27256"/>
    <n v="1683"/>
    <n v="1654"/>
    <n v="10900"/>
    <m/>
    <n v="0"/>
    <n v="11161"/>
    <m/>
    <m/>
    <m/>
    <m/>
    <n v="0"/>
    <n v="0"/>
    <m/>
    <m/>
    <m/>
    <m/>
    <m/>
    <m/>
    <m/>
    <m/>
    <m/>
    <m/>
    <m/>
    <m/>
  </r>
  <r>
    <x v="0"/>
    <s v="Snead State Community College "/>
    <m/>
    <n v="102076"/>
    <x v="8"/>
    <n v="61943"/>
    <n v="58698"/>
    <n v="30094"/>
    <n v="27443"/>
    <n v="0"/>
    <n v="0"/>
    <n v="31849"/>
    <m/>
    <m/>
    <n v="31255"/>
    <m/>
    <m/>
    <m/>
    <m/>
    <n v="0"/>
    <n v="0"/>
    <m/>
    <m/>
    <m/>
    <m/>
    <m/>
    <m/>
    <m/>
    <m/>
    <m/>
    <m/>
    <m/>
    <m/>
  </r>
  <r>
    <x v="0"/>
    <s v="Trenholm State Technical College "/>
    <m/>
    <n v="102313"/>
    <x v="9"/>
    <n v="38556"/>
    <n v="40249"/>
    <n v="33046"/>
    <n v="35030"/>
    <n v="2182"/>
    <n v="1901"/>
    <n v="3328"/>
    <m/>
    <n v="0"/>
    <n v="3318"/>
    <m/>
    <m/>
    <m/>
    <m/>
    <n v="0"/>
    <n v="0"/>
    <m/>
    <m/>
    <m/>
    <m/>
    <m/>
    <m/>
    <m/>
    <m/>
    <m/>
    <m/>
    <m/>
    <m/>
  </r>
  <r>
    <x v="0"/>
    <s v="J.F. Drake State Technical College "/>
    <m/>
    <n v="101462"/>
    <x v="10"/>
    <n v="20532"/>
    <n v="18179"/>
    <n v="12445"/>
    <n v="11152"/>
    <n v="1673"/>
    <n v="680"/>
    <n v="6414"/>
    <m/>
    <n v="0"/>
    <n v="6347"/>
    <m/>
    <m/>
    <m/>
    <m/>
    <n v="0"/>
    <n v="0"/>
    <m/>
    <m/>
    <m/>
    <m/>
    <m/>
    <m/>
    <m/>
    <m/>
    <m/>
    <m/>
    <m/>
    <m/>
  </r>
  <r>
    <x v="0"/>
    <s v="J.F. Ingram State Technical College "/>
    <m/>
    <n v="101471"/>
    <x v="10"/>
    <n v="18336"/>
    <n v="15888"/>
    <n v="18288"/>
    <n v="15888"/>
    <n v="0"/>
    <n v="0"/>
    <n v="48"/>
    <m/>
    <m/>
    <n v="0"/>
    <m/>
    <m/>
    <m/>
    <m/>
    <n v="0"/>
    <n v="0"/>
    <m/>
    <m/>
    <m/>
    <m/>
    <m/>
    <m/>
    <m/>
    <m/>
    <m/>
    <m/>
    <m/>
    <m/>
  </r>
  <r>
    <x v="0"/>
    <s v="Reid State Technical College "/>
    <m/>
    <n v="101994"/>
    <x v="10"/>
    <n v="11505"/>
    <n v="10491"/>
    <n v="9007"/>
    <n v="8190"/>
    <n v="2498"/>
    <n v="2301"/>
    <m/>
    <m/>
    <m/>
    <n v="0"/>
    <m/>
    <m/>
    <m/>
    <m/>
    <n v="0"/>
    <n v="0"/>
    <m/>
    <m/>
    <m/>
    <m/>
    <m/>
    <m/>
    <m/>
    <m/>
    <m/>
    <m/>
    <m/>
    <m/>
  </r>
  <r>
    <x v="0"/>
    <s v="Marion Military Institute"/>
    <m/>
    <n v="101648"/>
    <x v="11"/>
    <n v="13766"/>
    <n v="13899"/>
    <n v="13766"/>
    <n v="13796"/>
    <m/>
    <n v="0"/>
    <m/>
    <m/>
    <m/>
    <n v="103"/>
    <m/>
    <m/>
    <m/>
    <m/>
    <n v="0"/>
    <n v="0"/>
    <m/>
    <m/>
    <m/>
    <m/>
    <m/>
    <m/>
    <m/>
    <m/>
    <m/>
    <m/>
    <m/>
    <m/>
  </r>
  <r>
    <x v="1"/>
    <s v="University of Arkansas, Fayetteville"/>
    <m/>
    <n v="106397"/>
    <x v="0"/>
    <n v="638732"/>
    <n v="648938"/>
    <n v="573464"/>
    <n v="579933"/>
    <n v="9162"/>
    <n v="9280"/>
    <n v="52367"/>
    <n v="457"/>
    <n v="0"/>
    <n v="55804"/>
    <n v="342"/>
    <n v="27"/>
    <n v="3282"/>
    <n v="3552"/>
    <n v="81194"/>
    <n v="79947"/>
    <n v="56247"/>
    <n v="54611"/>
    <n v="1278"/>
    <n v="1026"/>
    <n v="23650"/>
    <n v="0"/>
    <n v="19"/>
    <n v="24301"/>
    <n v="9"/>
    <n v="0"/>
    <n v="0"/>
    <n v="0"/>
  </r>
  <r>
    <x v="1"/>
    <s v="University of Arkansas at Little Rock"/>
    <s v="Met the criteria for Four-Year 3 in 2017-18."/>
    <n v="106245"/>
    <x v="1"/>
    <n v="206489"/>
    <n v="205875"/>
    <n v="116807"/>
    <n v="111480"/>
    <n v="21304"/>
    <n v="22281"/>
    <n v="68378"/>
    <n v="0"/>
    <n v="0"/>
    <n v="72114"/>
    <n v="0"/>
    <n v="0"/>
    <n v="0"/>
    <n v="0"/>
    <n v="42496"/>
    <n v="42251"/>
    <n v="27335"/>
    <n v="29969"/>
    <n v="5004"/>
    <n v="204"/>
    <n v="10157"/>
    <n v="0"/>
    <n v="0"/>
    <n v="12078"/>
    <n v="0"/>
    <n v="0"/>
    <n v="0"/>
    <n v="0"/>
  </r>
  <r>
    <x v="1"/>
    <s v="Arkansas State University"/>
    <m/>
    <n v="106458"/>
    <x v="2"/>
    <n v="268602"/>
    <n v="263051"/>
    <n v="172412"/>
    <n v="167218"/>
    <n v="15899"/>
    <n v="16066"/>
    <n v="77931"/>
    <n v="2360"/>
    <n v="0"/>
    <n v="78563"/>
    <n v="1204"/>
    <n v="0"/>
    <n v="0"/>
    <n v="0"/>
    <n v="92137"/>
    <n v="97384"/>
    <n v="22718"/>
    <n v="22027"/>
    <n v="3"/>
    <n v="12"/>
    <n v="69347"/>
    <n v="0"/>
    <n v="69"/>
    <n v="75330"/>
    <n v="0"/>
    <n v="15"/>
    <n v="0"/>
    <n v="0"/>
  </r>
  <r>
    <x v="1"/>
    <s v="Arkansas Tech University"/>
    <m/>
    <n v="106467"/>
    <x v="2"/>
    <n v="223609"/>
    <n v="231675"/>
    <n v="153467"/>
    <n v="157263"/>
    <n v="10453"/>
    <n v="13568"/>
    <n v="58624"/>
    <n v="0"/>
    <n v="1065"/>
    <n v="58822"/>
    <n v="0"/>
    <n v="2022"/>
    <n v="0"/>
    <n v="0"/>
    <n v="15406"/>
    <n v="14243"/>
    <n v="5506"/>
    <n v="4456"/>
    <n v="1647"/>
    <n v="302"/>
    <n v="7988"/>
    <n v="0"/>
    <n v="265"/>
    <n v="8924"/>
    <n v="0"/>
    <n v="561"/>
    <n v="0"/>
    <n v="0"/>
  </r>
  <r>
    <x v="1"/>
    <s v="University of Central Arkansas "/>
    <m/>
    <n v="106704"/>
    <x v="2"/>
    <n v="270455"/>
    <n v="265178"/>
    <n v="245649"/>
    <n v="236960"/>
    <n v="3257"/>
    <n v="4256"/>
    <n v="21395"/>
    <n v="153"/>
    <n v="0"/>
    <n v="23776"/>
    <n v="186"/>
    <n v="0"/>
    <n v="1"/>
    <n v="0"/>
    <n v="37487"/>
    <n v="37102"/>
    <n v="19585"/>
    <n v="20105"/>
    <n v="0"/>
    <n v="0"/>
    <n v="12927"/>
    <n v="4975"/>
    <n v="0"/>
    <n v="12202"/>
    <n v="4795"/>
    <n v="0"/>
    <n v="0"/>
    <n v="0"/>
  </r>
  <r>
    <x v="1"/>
    <s v="Henderson State University"/>
    <m/>
    <n v="107071"/>
    <x v="3"/>
    <n v="88838"/>
    <n v="83926"/>
    <n v="72553"/>
    <n v="66438"/>
    <n v="1847"/>
    <n v="2225"/>
    <n v="14438"/>
    <n v="0"/>
    <n v="0"/>
    <n v="15263"/>
    <n v="0"/>
    <n v="0"/>
    <n v="0"/>
    <n v="0"/>
    <n v="7490"/>
    <n v="7745"/>
    <n v="2366"/>
    <n v="2186"/>
    <n v="210"/>
    <n v="168"/>
    <n v="4914"/>
    <n v="0"/>
    <n v="0"/>
    <n v="5391"/>
    <n v="0"/>
    <n v="0"/>
    <n v="0"/>
    <n v="0"/>
  </r>
  <r>
    <x v="1"/>
    <s v="Southern Arkansas University"/>
    <m/>
    <n v="107983"/>
    <x v="3"/>
    <n v="53603"/>
    <n v="94715"/>
    <n v="34899"/>
    <n v="75063"/>
    <n v="2005"/>
    <n v="2062"/>
    <n v="16699"/>
    <n v="0"/>
    <n v="0"/>
    <n v="17590"/>
    <n v="0"/>
    <n v="0"/>
    <n v="0"/>
    <n v="0"/>
    <n v="28267"/>
    <n v="22276"/>
    <n v="4488"/>
    <n v="1827"/>
    <n v="2550"/>
    <n v="4072"/>
    <n v="21229"/>
    <n v="0"/>
    <n v="0"/>
    <n v="16377"/>
    <n v="0"/>
    <n v="0"/>
    <n v="0"/>
    <n v="0"/>
  </r>
  <r>
    <x v="1"/>
    <s v="University of Arkansas at Monticello"/>
    <s v="Met the criteria for Four-Year 4 in 2017-18."/>
    <n v="106485"/>
    <x v="4"/>
    <n v="67489"/>
    <n v="74004"/>
    <n v="46678"/>
    <n v="49391"/>
    <n v="3109"/>
    <n v="7076"/>
    <n v="17702"/>
    <n v="0"/>
    <n v="0"/>
    <n v="17519"/>
    <n v="18"/>
    <n v="0"/>
    <n v="0"/>
    <n v="0"/>
    <n v="4537"/>
    <n v="5793"/>
    <n v="757"/>
    <n v="855"/>
    <n v="6"/>
    <n v="0"/>
    <n v="3774"/>
    <n v="0"/>
    <n v="0"/>
    <n v="4938"/>
    <n v="0"/>
    <n v="0"/>
    <n v="0"/>
    <n v="0"/>
  </r>
  <r>
    <x v="1"/>
    <s v="University of Arkansas at Fort Smith"/>
    <m/>
    <n v="108092"/>
    <x v="5"/>
    <n v="158534"/>
    <n v="158357"/>
    <n v="121326"/>
    <n v="116105"/>
    <n v="3884"/>
    <n v="4300"/>
    <n v="33324"/>
    <n v="0"/>
    <n v="0"/>
    <n v="37952"/>
    <n v="0"/>
    <n v="0"/>
    <n v="0"/>
    <n v="0"/>
    <n v="210"/>
    <n v="186"/>
    <n v="0"/>
    <n v="0"/>
    <n v="0"/>
    <n v="0"/>
    <n v="210"/>
    <n v="0"/>
    <n v="0"/>
    <n v="186"/>
    <n v="0"/>
    <n v="0"/>
    <n v="0"/>
    <n v="0"/>
  </r>
  <r>
    <x v="1"/>
    <s v="University of Arkansas at Pine Bluff"/>
    <s v="Met the criteria for Four-Year 5 in 2016-17 and 2017-18."/>
    <n v="106412"/>
    <x v="5"/>
    <n v="73420"/>
    <n v="73528"/>
    <n v="61915"/>
    <n v="60050"/>
    <n v="0"/>
    <n v="72"/>
    <n v="11505"/>
    <n v="0"/>
    <n v="0"/>
    <n v="13406"/>
    <n v="0"/>
    <n v="0"/>
    <n v="0"/>
    <n v="0"/>
    <n v="1436"/>
    <n v="1472"/>
    <n v="1088"/>
    <n v="1172"/>
    <n v="0"/>
    <n v="0"/>
    <n v="348"/>
    <n v="0"/>
    <n v="0"/>
    <n v="300"/>
    <n v="0"/>
    <n v="0"/>
    <n v="0"/>
    <n v="0"/>
  </r>
  <r>
    <x v="1"/>
    <s v="Northwest Arkansas Community College "/>
    <m/>
    <n v="367459"/>
    <x v="6"/>
    <n v="147232"/>
    <n v="150029"/>
    <n v="88828"/>
    <n v="91859"/>
    <n v="18623"/>
    <n v="16255"/>
    <n v="39731"/>
    <n v="50"/>
    <n v="0"/>
    <n v="41915"/>
    <n v="0"/>
    <n v="0"/>
    <n v="0"/>
    <n v="0"/>
    <n v="0"/>
    <n v="0"/>
    <n v="0"/>
    <m/>
    <n v="0"/>
    <m/>
    <n v="0"/>
    <n v="0"/>
    <n v="0"/>
    <m/>
    <m/>
    <m/>
    <n v="0"/>
    <m/>
  </r>
  <r>
    <x v="1"/>
    <s v="Pulaski Technical College"/>
    <s v="Met the criteria for Two-Year 2 in 2016-17 and 2017-18. "/>
    <n v="107664"/>
    <x v="6"/>
    <n v="144062"/>
    <n v="124411"/>
    <n v="90966"/>
    <n v="80904"/>
    <n v="1293"/>
    <n v="1336"/>
    <n v="51803"/>
    <n v="0"/>
    <n v="0"/>
    <n v="42171"/>
    <n v="0"/>
    <n v="0"/>
    <n v="0"/>
    <n v="0"/>
    <n v="0"/>
    <n v="0"/>
    <n v="0"/>
    <m/>
    <n v="0"/>
    <m/>
    <n v="0"/>
    <n v="0"/>
    <n v="0"/>
    <m/>
    <m/>
    <m/>
    <n v="0"/>
    <m/>
  </r>
  <r>
    <x v="1"/>
    <s v="Arkansas State University-Beebe"/>
    <m/>
    <n v="106449"/>
    <x v="7"/>
    <n v="86601"/>
    <n v="82537"/>
    <n v="56904"/>
    <n v="53325"/>
    <n v="9652"/>
    <n v="8419"/>
    <n v="20045"/>
    <n v="0"/>
    <n v="0"/>
    <n v="20724"/>
    <n v="69"/>
    <n v="0"/>
    <n v="0"/>
    <n v="0"/>
    <n v="0"/>
    <n v="0"/>
    <n v="0"/>
    <m/>
    <n v="0"/>
    <m/>
    <n v="0"/>
    <n v="0"/>
    <n v="0"/>
    <m/>
    <m/>
    <m/>
    <n v="0"/>
    <m/>
  </r>
  <r>
    <x v="1"/>
    <s v="National Park College"/>
    <s v="Reclassified: Met the criteria for Two-Year 3 in 2015-16, 2016-17, and 2017-18."/>
    <n v="106980"/>
    <x v="8"/>
    <n v="55678"/>
    <n v="55130"/>
    <n v="37725"/>
    <n v="44907"/>
    <n v="6621"/>
    <n v="4889"/>
    <n v="11332"/>
    <n v="0"/>
    <n v="0"/>
    <n v="5334"/>
    <n v="0"/>
    <n v="0"/>
    <n v="0"/>
    <n v="0"/>
    <n v="0"/>
    <n v="0"/>
    <n v="0"/>
    <m/>
    <n v="0"/>
    <m/>
    <n v="0"/>
    <n v="0"/>
    <n v="0"/>
    <m/>
    <m/>
    <m/>
    <n v="0"/>
    <m/>
  </r>
  <r>
    <x v="1"/>
    <s v="Arkansas Northeastern College"/>
    <m/>
    <n v="107327"/>
    <x v="8"/>
    <n v="28038"/>
    <n v="28028"/>
    <n v="20321"/>
    <n v="18775"/>
    <n v="275"/>
    <n v="311"/>
    <n v="7442"/>
    <n v="0"/>
    <n v="0"/>
    <n v="8942"/>
    <n v="0"/>
    <n v="0"/>
    <n v="0"/>
    <n v="0"/>
    <n v="0"/>
    <n v="0"/>
    <n v="0"/>
    <m/>
    <n v="0"/>
    <m/>
    <n v="0"/>
    <n v="0"/>
    <n v="0"/>
    <m/>
    <m/>
    <m/>
    <n v="0"/>
    <m/>
  </r>
  <r>
    <x v="1"/>
    <s v="Arkansas State University Mid-South"/>
    <m/>
    <n v="107318"/>
    <x v="8"/>
    <n v="31364"/>
    <n v="28008"/>
    <n v="27244"/>
    <n v="23620"/>
    <n v="12"/>
    <n v="12"/>
    <n v="4108"/>
    <n v="0"/>
    <n v="0"/>
    <n v="4376"/>
    <n v="0"/>
    <n v="0"/>
    <n v="0"/>
    <n v="0"/>
    <n v="0"/>
    <n v="0"/>
    <n v="0"/>
    <m/>
    <n v="0"/>
    <m/>
    <n v="0"/>
    <n v="0"/>
    <n v="0"/>
    <m/>
    <m/>
    <m/>
    <n v="0"/>
    <m/>
  </r>
  <r>
    <x v="1"/>
    <s v="Arkansas State University Mountain Home"/>
    <m/>
    <n v="420538"/>
    <x v="8"/>
    <n v="32005"/>
    <n v="29408"/>
    <n v="15109"/>
    <n v="12951"/>
    <n v="4319"/>
    <n v="5024"/>
    <n v="11881"/>
    <n v="696"/>
    <n v="0"/>
    <n v="10949"/>
    <n v="484"/>
    <n v="0"/>
    <n v="0"/>
    <n v="0"/>
    <n v="0"/>
    <n v="0"/>
    <n v="0"/>
    <m/>
    <n v="0"/>
    <m/>
    <n v="0"/>
    <n v="0"/>
    <n v="0"/>
    <m/>
    <m/>
    <m/>
    <n v="0"/>
    <m/>
  </r>
  <r>
    <x v="1"/>
    <s v="Arkansas State University-Newport"/>
    <m/>
    <n v="440402"/>
    <x v="8"/>
    <n v="55273"/>
    <n v="55631"/>
    <n v="25855"/>
    <n v="29607"/>
    <n v="7961"/>
    <n v="5075"/>
    <n v="21406"/>
    <n v="51"/>
    <n v="0"/>
    <n v="20949"/>
    <n v="0"/>
    <n v="0"/>
    <n v="0"/>
    <n v="0"/>
    <n v="0"/>
    <n v="0"/>
    <n v="0"/>
    <m/>
    <n v="0"/>
    <m/>
    <n v="0"/>
    <n v="0"/>
    <n v="0"/>
    <m/>
    <m/>
    <m/>
    <n v="0"/>
    <m/>
  </r>
  <r>
    <x v="1"/>
    <s v="Black River Technical College"/>
    <m/>
    <n v="106625"/>
    <x v="8"/>
    <n v="31496"/>
    <n v="32148"/>
    <n v="17462"/>
    <n v="18356"/>
    <n v="2798"/>
    <n v="2118"/>
    <n v="9589"/>
    <n v="1647"/>
    <n v="0"/>
    <n v="10290"/>
    <n v="1384"/>
    <n v="0"/>
    <n v="0"/>
    <n v="0"/>
    <n v="0"/>
    <n v="0"/>
    <n v="0"/>
    <m/>
    <n v="0"/>
    <m/>
    <n v="0"/>
    <n v="0"/>
    <n v="0"/>
    <m/>
    <m/>
    <m/>
    <n v="0"/>
    <m/>
  </r>
  <r>
    <x v="1"/>
    <s v="College of the Ouachitas"/>
    <m/>
    <n v="107521"/>
    <x v="8"/>
    <n v="23711"/>
    <n v="23499"/>
    <n v="17400"/>
    <n v="18244"/>
    <n v="1752"/>
    <n v="1339"/>
    <n v="4559"/>
    <n v="0"/>
    <n v="0"/>
    <n v="3916"/>
    <n v="0"/>
    <n v="0"/>
    <n v="0"/>
    <n v="0"/>
    <n v="0"/>
    <n v="0"/>
    <n v="0"/>
    <m/>
    <n v="0"/>
    <m/>
    <n v="0"/>
    <n v="0"/>
    <n v="0"/>
    <m/>
    <m/>
    <m/>
    <n v="0"/>
    <m/>
  </r>
  <r>
    <x v="1"/>
    <s v="Cossatot Community College of the University of Arkansas"/>
    <m/>
    <n v="106795"/>
    <x v="8"/>
    <n v="28453"/>
    <n v="27395"/>
    <n v="6429"/>
    <n v="6314"/>
    <n v="10843"/>
    <n v="10377"/>
    <n v="7820"/>
    <n v="3361"/>
    <n v="0"/>
    <n v="7550"/>
    <n v="3154"/>
    <n v="0"/>
    <n v="0"/>
    <n v="0"/>
    <n v="0"/>
    <n v="0"/>
    <n v="0"/>
    <m/>
    <n v="0"/>
    <m/>
    <n v="0"/>
    <n v="0"/>
    <n v="0"/>
    <m/>
    <m/>
    <m/>
    <n v="0"/>
    <m/>
  </r>
  <r>
    <x v="1"/>
    <s v="East Arkansas Community College "/>
    <m/>
    <n v="106883"/>
    <x v="8"/>
    <n v="21629"/>
    <n v="19473"/>
    <n v="9464"/>
    <n v="9276"/>
    <n v="6322"/>
    <n v="3782"/>
    <n v="5843"/>
    <n v="0"/>
    <n v="0"/>
    <n v="6415"/>
    <n v="0"/>
    <n v="0"/>
    <n v="0"/>
    <n v="0"/>
    <n v="0"/>
    <n v="0"/>
    <n v="0"/>
    <m/>
    <n v="0"/>
    <m/>
    <n v="0"/>
    <n v="0"/>
    <n v="0"/>
    <m/>
    <m/>
    <m/>
    <n v="0"/>
    <m/>
  </r>
  <r>
    <x v="1"/>
    <s v="North Arkansas College"/>
    <m/>
    <n v="107460"/>
    <x v="8"/>
    <n v="39805"/>
    <n v="40175"/>
    <n v="28191"/>
    <n v="29012"/>
    <n v="3099"/>
    <n v="1002"/>
    <n v="8442"/>
    <n v="73"/>
    <n v="0"/>
    <n v="10018"/>
    <n v="143"/>
    <n v="0"/>
    <n v="0"/>
    <n v="0"/>
    <n v="0"/>
    <n v="0"/>
    <n v="0"/>
    <m/>
    <n v="0"/>
    <m/>
    <n v="0"/>
    <n v="0"/>
    <n v="0"/>
    <m/>
    <m/>
    <m/>
    <n v="0"/>
    <m/>
  </r>
  <r>
    <x v="1"/>
    <s v="Ozarka College "/>
    <m/>
    <n v="107549"/>
    <x v="8"/>
    <n v="24774"/>
    <n v="24123"/>
    <n v="11882"/>
    <n v="11932"/>
    <n v="1612"/>
    <n v="1471"/>
    <n v="11133"/>
    <n v="147"/>
    <n v="0"/>
    <n v="10720"/>
    <n v="0"/>
    <n v="0"/>
    <n v="0"/>
    <n v="0"/>
    <n v="0"/>
    <n v="0"/>
    <n v="0"/>
    <m/>
    <n v="0"/>
    <m/>
    <n v="0"/>
    <n v="0"/>
    <n v="0"/>
    <m/>
    <m/>
    <m/>
    <n v="0"/>
    <m/>
  </r>
  <r>
    <x v="1"/>
    <s v="Phillips Community College of the Univ of Arkansas"/>
    <m/>
    <n v="107619"/>
    <x v="8"/>
    <n v="29261"/>
    <n v="28486"/>
    <n v="22069"/>
    <n v="21184"/>
    <n v="1430"/>
    <n v="1447"/>
    <n v="3153"/>
    <n v="2609"/>
    <n v="0"/>
    <n v="3375"/>
    <n v="2480"/>
    <n v="0"/>
    <n v="0"/>
    <n v="0"/>
    <n v="0"/>
    <n v="0"/>
    <n v="0"/>
    <m/>
    <n v="0"/>
    <m/>
    <n v="0"/>
    <n v="0"/>
    <n v="0"/>
    <m/>
    <m/>
    <m/>
    <n v="0"/>
    <m/>
  </r>
  <r>
    <x v="1"/>
    <s v="Rich Mountain Community College "/>
    <m/>
    <n v="107743"/>
    <x v="8"/>
    <n v="16038"/>
    <n v="16253"/>
    <n v="10330"/>
    <n v="10256"/>
    <n v="2387"/>
    <n v="2612"/>
    <n v="2982"/>
    <n v="339"/>
    <n v="0"/>
    <n v="3024"/>
    <n v="361"/>
    <n v="0"/>
    <n v="0"/>
    <n v="0"/>
    <n v="0"/>
    <n v="0"/>
    <n v="0"/>
    <m/>
    <n v="0"/>
    <m/>
    <n v="0"/>
    <n v="0"/>
    <n v="0"/>
    <m/>
    <m/>
    <m/>
    <n v="0"/>
    <m/>
  </r>
  <r>
    <x v="1"/>
    <s v="South Arkansas Community College"/>
    <m/>
    <n v="107974"/>
    <x v="8"/>
    <n v="31280"/>
    <n v="30749"/>
    <n v="21353"/>
    <n v="17956"/>
    <n v="2161"/>
    <n v="3939"/>
    <n v="7766"/>
    <n v="0"/>
    <n v="0"/>
    <n v="8854"/>
    <n v="0"/>
    <n v="0"/>
    <n v="0"/>
    <n v="0"/>
    <n v="0"/>
    <n v="0"/>
    <n v="0"/>
    <m/>
    <n v="0"/>
    <m/>
    <n v="0"/>
    <n v="0"/>
    <n v="0"/>
    <m/>
    <m/>
    <m/>
    <n v="0"/>
    <m/>
  </r>
  <r>
    <x v="1"/>
    <s v="Southeast Arkansas College"/>
    <m/>
    <n v="107637"/>
    <x v="8"/>
    <n v="30094"/>
    <n v="26773"/>
    <n v="24311"/>
    <n v="21219"/>
    <n v="949"/>
    <n v="940"/>
    <n v="4834"/>
    <n v="0"/>
    <n v="0"/>
    <n v="4614"/>
    <n v="0"/>
    <n v="0"/>
    <n v="0"/>
    <n v="0"/>
    <n v="0"/>
    <n v="0"/>
    <n v="0"/>
    <m/>
    <n v="0"/>
    <m/>
    <n v="0"/>
    <n v="0"/>
    <n v="0"/>
    <m/>
    <m/>
    <m/>
    <n v="0"/>
    <m/>
  </r>
  <r>
    <x v="1"/>
    <s v="Southern Arkansas University Tech"/>
    <m/>
    <n v="107992"/>
    <x v="8"/>
    <n v="33595"/>
    <n v="26545"/>
    <n v="13383"/>
    <n v="12295"/>
    <n v="14815"/>
    <n v="8706"/>
    <n v="5397"/>
    <n v="0"/>
    <n v="0"/>
    <n v="5544"/>
    <n v="0"/>
    <n v="0"/>
    <n v="0"/>
    <n v="0"/>
    <n v="0"/>
    <n v="0"/>
    <n v="0"/>
    <m/>
    <n v="0"/>
    <m/>
    <n v="0"/>
    <n v="0"/>
    <n v="0"/>
    <m/>
    <m/>
    <m/>
    <n v="0"/>
    <m/>
  </r>
  <r>
    <x v="1"/>
    <s v="University of Arkansas Community College at Batesville"/>
    <m/>
    <n v="106999"/>
    <x v="8"/>
    <n v="27814"/>
    <n v="26243"/>
    <n v="18154"/>
    <n v="17150"/>
    <n v="1832"/>
    <n v="1336"/>
    <n v="7828"/>
    <n v="0"/>
    <n v="0"/>
    <n v="7757"/>
    <n v="0"/>
    <n v="0"/>
    <n v="0"/>
    <n v="0"/>
    <n v="0"/>
    <n v="0"/>
    <n v="0"/>
    <m/>
    <n v="0"/>
    <m/>
    <n v="0"/>
    <n v="0"/>
    <n v="0"/>
    <m/>
    <m/>
    <m/>
    <n v="0"/>
    <m/>
  </r>
  <r>
    <x v="1"/>
    <s v="University of Arkansas Community College at Hope"/>
    <m/>
    <n v="107725"/>
    <x v="8"/>
    <n v="29412"/>
    <n v="31184"/>
    <n v="15869"/>
    <n v="14720"/>
    <n v="7626"/>
    <n v="9004"/>
    <n v="4684"/>
    <n v="1233"/>
    <n v="0"/>
    <n v="5451"/>
    <n v="2009"/>
    <n v="0"/>
    <n v="0"/>
    <n v="0"/>
    <n v="0"/>
    <n v="0"/>
    <n v="0"/>
    <m/>
    <n v="0"/>
    <m/>
    <n v="0"/>
    <n v="0"/>
    <n v="0"/>
    <m/>
    <m/>
    <m/>
    <n v="0"/>
    <m/>
  </r>
  <r>
    <x v="1"/>
    <s v="University of Arkansas Community College at Morrilton"/>
    <m/>
    <n v="107585"/>
    <x v="8"/>
    <n v="46040"/>
    <n v="44851"/>
    <n v="40215"/>
    <n v="38993"/>
    <n v="30"/>
    <n v="0"/>
    <n v="5795"/>
    <n v="0"/>
    <n v="0"/>
    <n v="5858"/>
    <n v="0"/>
    <n v="0"/>
    <n v="0"/>
    <n v="0"/>
    <n v="0"/>
    <n v="0"/>
    <n v="0"/>
    <m/>
    <n v="0"/>
    <m/>
    <n v="0"/>
    <n v="0"/>
    <n v="0"/>
    <m/>
    <m/>
    <m/>
    <n v="0"/>
    <m/>
  </r>
  <r>
    <x v="1"/>
    <s v="University of Arkansas for Medical Sciences"/>
    <m/>
    <n v="106263"/>
    <x v="11"/>
    <n v="18675"/>
    <n v="18081"/>
    <n v="15734"/>
    <n v="12214"/>
    <n v="413"/>
    <n v="595"/>
    <n v="2183"/>
    <n v="345"/>
    <n v="0"/>
    <n v="4133"/>
    <n v="1139"/>
    <n v="0"/>
    <n v="0"/>
    <n v="0"/>
    <n v="66817"/>
    <n v="0"/>
    <n v="60880"/>
    <m/>
    <n v="847"/>
    <m/>
    <n v="3080"/>
    <n v="2010"/>
    <n v="0"/>
    <m/>
    <m/>
    <m/>
    <n v="0"/>
    <m/>
  </r>
  <r>
    <x v="2"/>
    <s v="University of Delaware"/>
    <m/>
    <n v="130943"/>
    <x v="0"/>
    <n v="577848"/>
    <n v="583850"/>
    <n v="558155"/>
    <n v="562826"/>
    <m/>
    <m/>
    <n v="19693"/>
    <n v="0"/>
    <n v="0"/>
    <n v="21024"/>
    <n v="0"/>
    <n v="0"/>
    <m/>
    <m/>
    <n v="57909"/>
    <n v="64419"/>
    <n v="52257"/>
    <n v="56776"/>
    <n v="0"/>
    <n v="0"/>
    <n v="5652"/>
    <n v="0"/>
    <n v="0"/>
    <n v="7643"/>
    <n v="0"/>
    <n v="0"/>
    <m/>
    <m/>
  </r>
  <r>
    <x v="2"/>
    <s v="Delaware State University"/>
    <m/>
    <n v="130934"/>
    <x v="2"/>
    <n v="127789"/>
    <n v="122955"/>
    <n v="122627"/>
    <n v="116563"/>
    <m/>
    <m/>
    <n v="5162"/>
    <n v="0"/>
    <n v="0"/>
    <n v="6392"/>
    <n v="0"/>
    <n v="0"/>
    <m/>
    <m/>
    <n v="6146"/>
    <n v="5453"/>
    <n v="5816"/>
    <n v="4883"/>
    <m/>
    <n v="0"/>
    <n v="330"/>
    <n v="0"/>
    <n v="0"/>
    <n v="570"/>
    <n v="0"/>
    <n v="0"/>
    <m/>
    <m/>
  </r>
  <r>
    <x v="2"/>
    <s v="Delaware Technical and Community College--Terry"/>
    <s v="Met the criteria for Two-Year 1 in 2017-18. "/>
    <n v="130907"/>
    <x v="7"/>
    <n v="276057"/>
    <n v="268781"/>
    <n v="237563"/>
    <n v="224315"/>
    <m/>
    <m/>
    <n v="37297"/>
    <n v="969"/>
    <n v="228"/>
    <n v="43060"/>
    <n v="877"/>
    <n v="529"/>
    <m/>
    <m/>
    <n v="0"/>
    <n v="0"/>
    <m/>
    <m/>
    <m/>
    <m/>
    <m/>
    <m/>
    <m/>
    <m/>
    <m/>
    <m/>
    <m/>
    <m/>
  </r>
  <r>
    <x v="3"/>
    <m/>
    <m/>
    <m/>
    <x v="12"/>
    <m/>
    <m/>
    <m/>
    <m/>
    <m/>
    <m/>
    <m/>
    <m/>
    <m/>
    <m/>
    <m/>
    <m/>
    <m/>
    <m/>
    <m/>
    <m/>
    <m/>
    <m/>
    <m/>
    <m/>
    <m/>
    <m/>
    <m/>
    <m/>
    <m/>
    <m/>
    <m/>
    <m/>
  </r>
  <r>
    <x v="3"/>
    <s v="Eastern Florida State College"/>
    <s v="Reclassified: Met the criteria for Two-Year with Bachelor's in 2015-16, 2016-17, and 2017-18. "/>
    <n v="132693"/>
    <x v="13"/>
    <n v="309025"/>
    <n v="310404"/>
    <n v="217792"/>
    <n v="211033"/>
    <n v="7766"/>
    <n v="7289"/>
    <n v="83467"/>
    <n v="0"/>
    <n v="0"/>
    <n v="92082"/>
    <n v="0"/>
    <n v="0"/>
    <n v="0"/>
    <n v="0"/>
    <n v="0"/>
    <n v="0"/>
    <m/>
    <m/>
    <m/>
    <m/>
    <m/>
    <m/>
    <m/>
    <m/>
    <m/>
    <m/>
    <m/>
    <m/>
  </r>
  <r>
    <x v="3"/>
    <s v="Broward College "/>
    <m/>
    <n v="132709"/>
    <x v="13"/>
    <n v="879832"/>
    <n v="858119"/>
    <n v="666132"/>
    <n v="642297"/>
    <n v="58307"/>
    <n v="52103"/>
    <n v="152360"/>
    <n v="0"/>
    <n v="3030"/>
    <n v="162309"/>
    <n v="0"/>
    <n v="1410"/>
    <n v="3"/>
    <n v="0"/>
    <n v="0"/>
    <n v="0"/>
    <m/>
    <m/>
    <m/>
    <m/>
    <m/>
    <m/>
    <m/>
    <m/>
    <m/>
    <m/>
    <m/>
    <m/>
  </r>
  <r>
    <x v="3"/>
    <s v="College of Central Florida"/>
    <m/>
    <n v="132851"/>
    <x v="13"/>
    <n v="150640"/>
    <n v="148142"/>
    <n v="102020"/>
    <n v="97491"/>
    <n v="0"/>
    <n v="0"/>
    <n v="48467"/>
    <n v="153"/>
    <n v="0"/>
    <n v="50650"/>
    <n v="1"/>
    <n v="0"/>
    <n v="0"/>
    <n v="0"/>
    <n v="0"/>
    <n v="0"/>
    <m/>
    <m/>
    <m/>
    <m/>
    <m/>
    <m/>
    <m/>
    <m/>
    <m/>
    <m/>
    <m/>
    <m/>
  </r>
  <r>
    <x v="3"/>
    <s v="Chipola College "/>
    <m/>
    <n v="133021"/>
    <x v="13"/>
    <n v="40703"/>
    <n v="40003"/>
    <n v="31082"/>
    <n v="29394"/>
    <n v="1973"/>
    <n v="1476"/>
    <n v="7648"/>
    <n v="0"/>
    <n v="0"/>
    <n v="9133"/>
    <n v="0"/>
    <n v="0"/>
    <n v="0"/>
    <n v="0"/>
    <n v="0"/>
    <n v="0"/>
    <m/>
    <m/>
    <m/>
    <m/>
    <m/>
    <m/>
    <m/>
    <m/>
    <m/>
    <m/>
    <m/>
    <m/>
  </r>
  <r>
    <x v="3"/>
    <s v="Daytona State College "/>
    <m/>
    <n v="133386"/>
    <x v="13"/>
    <n v="287352"/>
    <n v="293464"/>
    <n v="176278"/>
    <n v="165740"/>
    <n v="674"/>
    <n v="6808"/>
    <n v="110400"/>
    <n v="0"/>
    <n v="0"/>
    <n v="120916"/>
    <n v="0"/>
    <n v="0"/>
    <n v="0"/>
    <n v="0"/>
    <n v="0"/>
    <n v="0"/>
    <m/>
    <m/>
    <m/>
    <m/>
    <m/>
    <m/>
    <m/>
    <m/>
    <m/>
    <m/>
    <m/>
    <m/>
  </r>
  <r>
    <x v="3"/>
    <s v="Florida SouthWestern State College"/>
    <m/>
    <n v="133508"/>
    <x v="13"/>
    <n v="317290"/>
    <n v="326619"/>
    <n v="226142"/>
    <n v="231393"/>
    <n v="14430"/>
    <n v="15256"/>
    <n v="74879"/>
    <n v="0"/>
    <n v="0"/>
    <n v="78670"/>
    <n v="0"/>
    <n v="0"/>
    <n v="1839"/>
    <n v="1300"/>
    <n v="0"/>
    <n v="0"/>
    <m/>
    <m/>
    <m/>
    <m/>
    <m/>
    <m/>
    <m/>
    <m/>
    <m/>
    <m/>
    <m/>
    <m/>
  </r>
  <r>
    <x v="3"/>
    <s v="Florida State College at Jacksonville"/>
    <m/>
    <n v="133702"/>
    <x v="13"/>
    <n v="531512"/>
    <n v="486161"/>
    <n v="314858"/>
    <n v="273661"/>
    <n v="19874"/>
    <n v="14840"/>
    <n v="196780"/>
    <n v="0"/>
    <n v="0"/>
    <n v="197660"/>
    <n v="0"/>
    <n v="0"/>
    <n v="0"/>
    <n v="0"/>
    <n v="0"/>
    <n v="0"/>
    <m/>
    <m/>
    <m/>
    <m/>
    <m/>
    <m/>
    <m/>
    <m/>
    <m/>
    <m/>
    <m/>
    <m/>
  </r>
  <r>
    <x v="3"/>
    <s v="Florida Keys Community College "/>
    <s v="Met the criteria for Two-Year 1 in 2017-18. "/>
    <n v="133960"/>
    <x v="8"/>
    <n v="20035"/>
    <n v="20126"/>
    <n v="14945"/>
    <n v="14718"/>
    <n v="864"/>
    <n v="958"/>
    <n v="4226"/>
    <n v="0"/>
    <n v="0"/>
    <n v="4450"/>
    <n v="0"/>
    <n v="0"/>
    <n v="0"/>
    <n v="0"/>
    <n v="0"/>
    <n v="0"/>
    <m/>
    <m/>
    <m/>
    <m/>
    <m/>
    <m/>
    <m/>
    <m/>
    <m/>
    <m/>
    <m/>
    <m/>
  </r>
  <r>
    <x v="3"/>
    <s v="Gulf Coast State College "/>
    <m/>
    <n v="134343"/>
    <x v="13"/>
    <n v="108350"/>
    <n v="104166"/>
    <n v="66159"/>
    <n v="64170"/>
    <n v="13531"/>
    <n v="11132"/>
    <n v="28660"/>
    <n v="0"/>
    <n v="0"/>
    <n v="28864"/>
    <n v="0"/>
    <n v="0"/>
    <n v="0"/>
    <n v="0"/>
    <n v="0"/>
    <n v="0"/>
    <m/>
    <m/>
    <m/>
    <m/>
    <m/>
    <m/>
    <m/>
    <m/>
    <m/>
    <m/>
    <m/>
    <m/>
  </r>
  <r>
    <x v="3"/>
    <s v="Hillsborough Community College "/>
    <m/>
    <n v="134495"/>
    <x v="6"/>
    <n v="556098"/>
    <n v="563021"/>
    <n v="401069"/>
    <n v="388663"/>
    <n v="19986"/>
    <n v="20438"/>
    <n v="133483"/>
    <n v="0"/>
    <n v="1560"/>
    <n v="153144"/>
    <n v="0"/>
    <n v="776"/>
    <n v="0"/>
    <n v="0"/>
    <n v="0"/>
    <n v="0"/>
    <m/>
    <m/>
    <m/>
    <m/>
    <m/>
    <m/>
    <m/>
    <m/>
    <m/>
    <m/>
    <m/>
    <m/>
  </r>
  <r>
    <x v="3"/>
    <s v="Indian River State College "/>
    <m/>
    <n v="134608"/>
    <x v="13"/>
    <n v="351893"/>
    <n v="345104"/>
    <n v="239719"/>
    <n v="219547"/>
    <n v="19801"/>
    <n v="31207"/>
    <n v="92037"/>
    <n v="0"/>
    <n v="0"/>
    <n v="94037"/>
    <n v="0"/>
    <n v="0"/>
    <n v="336"/>
    <n v="313"/>
    <n v="0"/>
    <n v="0"/>
    <m/>
    <m/>
    <m/>
    <m/>
    <m/>
    <m/>
    <m/>
    <m/>
    <m/>
    <m/>
    <m/>
    <m/>
  </r>
  <r>
    <x v="3"/>
    <s v="Florida Gateway College"/>
    <m/>
    <n v="135160"/>
    <x v="13"/>
    <n v="55912"/>
    <n v="60992"/>
    <n v="24190"/>
    <n v="24704"/>
    <n v="4821"/>
    <n v="5460"/>
    <n v="26901"/>
    <n v="0"/>
    <n v="0"/>
    <n v="30822"/>
    <n v="0"/>
    <n v="6"/>
    <n v="0"/>
    <n v="0"/>
    <n v="0"/>
    <n v="0"/>
    <m/>
    <m/>
    <m/>
    <m/>
    <m/>
    <m/>
    <m/>
    <m/>
    <m/>
    <m/>
    <m/>
    <m/>
  </r>
  <r>
    <x v="3"/>
    <s v="Lake-Sumter State College "/>
    <s v="Reclassified: Met the criteria for Two-Year with Bachelor's in 2015-16, 2016-17, and 2017-18. "/>
    <n v="135188"/>
    <x v="13"/>
    <n v="88263"/>
    <n v="91458"/>
    <n v="63566"/>
    <n v="63244"/>
    <n v="0"/>
    <n v="0"/>
    <n v="24697"/>
    <n v="0"/>
    <n v="0"/>
    <n v="28214"/>
    <n v="0"/>
    <n v="0"/>
    <n v="0"/>
    <n v="0"/>
    <n v="0"/>
    <n v="0"/>
    <m/>
    <m/>
    <m/>
    <m/>
    <m/>
    <m/>
    <m/>
    <m/>
    <m/>
    <m/>
    <m/>
    <m/>
  </r>
  <r>
    <x v="3"/>
    <s v="State College of Florida, Manatee-Sarasota"/>
    <m/>
    <n v="135391"/>
    <x v="13"/>
    <n v="218323"/>
    <n v="209396"/>
    <n v="133335"/>
    <n v="125418"/>
    <n v="11064"/>
    <n v="11221"/>
    <n v="73924"/>
    <n v="0"/>
    <n v="0"/>
    <n v="72757"/>
    <n v="0"/>
    <n v="0"/>
    <n v="0"/>
    <n v="0"/>
    <n v="0"/>
    <n v="0"/>
    <m/>
    <m/>
    <m/>
    <m/>
    <m/>
    <m/>
    <m/>
    <m/>
    <m/>
    <m/>
    <m/>
    <m/>
  </r>
  <r>
    <x v="3"/>
    <s v="Miami Dade College "/>
    <m/>
    <n v="135717"/>
    <x v="13"/>
    <n v="1364503"/>
    <n v="1343994"/>
    <n v="1231286"/>
    <n v="1200118"/>
    <n v="13973"/>
    <n v="18946"/>
    <n v="118853"/>
    <n v="0"/>
    <n v="0"/>
    <n v="123281"/>
    <n v="0"/>
    <n v="0"/>
    <n v="391"/>
    <n v="1649"/>
    <n v="0"/>
    <n v="0"/>
    <m/>
    <m/>
    <m/>
    <m/>
    <m/>
    <m/>
    <m/>
    <m/>
    <m/>
    <m/>
    <m/>
    <m/>
  </r>
  <r>
    <x v="3"/>
    <s v="North Florida Community College "/>
    <s v="Met the criteria for Two-Year 1 in 2017-18. "/>
    <n v="136145"/>
    <x v="8"/>
    <n v="21631"/>
    <n v="22174"/>
    <n v="14339"/>
    <n v="13899"/>
    <n v="721"/>
    <n v="456"/>
    <n v="6571"/>
    <n v="0"/>
    <n v="0"/>
    <n v="7819"/>
    <n v="0"/>
    <n v="0"/>
    <n v="0"/>
    <n v="0"/>
    <n v="0"/>
    <n v="0"/>
    <m/>
    <m/>
    <m/>
    <m/>
    <m/>
    <m/>
    <m/>
    <m/>
    <m/>
    <m/>
    <m/>
    <m/>
  </r>
  <r>
    <x v="3"/>
    <s v="Northwest Florida State College"/>
    <m/>
    <n v="136233"/>
    <x v="13"/>
    <n v="113555"/>
    <n v="109129"/>
    <n v="75348"/>
    <n v="65949"/>
    <n v="6069"/>
    <n v="9073"/>
    <n v="32138"/>
    <n v="0"/>
    <n v="0"/>
    <n v="34107"/>
    <n v="0"/>
    <n v="0"/>
    <n v="0"/>
    <n v="0"/>
    <n v="0"/>
    <n v="0"/>
    <m/>
    <m/>
    <m/>
    <m/>
    <m/>
    <m/>
    <m/>
    <m/>
    <m/>
    <m/>
    <m/>
    <m/>
  </r>
  <r>
    <x v="3"/>
    <s v="Palm Beach State College "/>
    <m/>
    <n v="136358"/>
    <x v="13"/>
    <n v="569162"/>
    <n v="585968"/>
    <n v="459428"/>
    <n v="467394"/>
    <n v="8978"/>
    <n v="8093"/>
    <n v="98281"/>
    <n v="0"/>
    <n v="2475"/>
    <n v="108085"/>
    <n v="0"/>
    <n v="2396"/>
    <n v="0"/>
    <n v="0"/>
    <n v="0"/>
    <n v="0"/>
    <m/>
    <m/>
    <m/>
    <m/>
    <m/>
    <m/>
    <m/>
    <m/>
    <m/>
    <m/>
    <m/>
    <m/>
  </r>
  <r>
    <x v="3"/>
    <s v="Pasco-Hernando State College "/>
    <s v="Met the criteria for Two-Year with Bachelor's in 2016-17 and 2017-18. "/>
    <n v="136400"/>
    <x v="6"/>
    <n v="222640"/>
    <n v="218649"/>
    <n v="144083"/>
    <n v="146423"/>
    <n v="8879"/>
    <n v="10061"/>
    <n v="69678"/>
    <n v="0"/>
    <n v="0"/>
    <n v="62165"/>
    <n v="0"/>
    <n v="0"/>
    <n v="0"/>
    <n v="0"/>
    <n v="0"/>
    <n v="0"/>
    <m/>
    <m/>
    <m/>
    <m/>
    <m/>
    <m/>
    <m/>
    <m/>
    <m/>
    <m/>
    <m/>
    <m/>
  </r>
  <r>
    <x v="3"/>
    <s v="Pensacola State College "/>
    <m/>
    <n v="136473"/>
    <x v="13"/>
    <n v="186906"/>
    <n v="195818"/>
    <n v="126428"/>
    <n v="127304"/>
    <n v="17698"/>
    <n v="17127"/>
    <n v="42768"/>
    <n v="12"/>
    <n v="0"/>
    <n v="50455"/>
    <n v="932"/>
    <n v="0"/>
    <n v="0"/>
    <n v="0"/>
    <n v="0"/>
    <n v="0"/>
    <m/>
    <m/>
    <m/>
    <m/>
    <m/>
    <m/>
    <m/>
    <m/>
    <m/>
    <m/>
    <m/>
    <m/>
  </r>
  <r>
    <x v="3"/>
    <s v="Polk State College "/>
    <m/>
    <n v="136516"/>
    <x v="13"/>
    <n v="203929"/>
    <n v="194341"/>
    <n v="120338"/>
    <n v="111408"/>
    <n v="21365"/>
    <n v="21844"/>
    <n v="62226"/>
    <n v="0"/>
    <n v="0"/>
    <n v="61089"/>
    <n v="0"/>
    <n v="0"/>
    <n v="0"/>
    <n v="0"/>
    <n v="0"/>
    <n v="0"/>
    <m/>
    <m/>
    <m/>
    <m/>
    <m/>
    <m/>
    <m/>
    <m/>
    <m/>
    <m/>
    <m/>
    <m/>
  </r>
  <r>
    <x v="3"/>
    <s v="St. Johns River State College "/>
    <m/>
    <n v="137281"/>
    <x v="13"/>
    <n v="129077"/>
    <n v="130215"/>
    <n v="78729"/>
    <n v="73667"/>
    <n v="14969"/>
    <n v="16328"/>
    <n v="35379"/>
    <n v="0"/>
    <n v="0"/>
    <n v="40220"/>
    <n v="0"/>
    <n v="0"/>
    <n v="0"/>
    <n v="0"/>
    <n v="0"/>
    <n v="0"/>
    <m/>
    <m/>
    <m/>
    <m/>
    <m/>
    <m/>
    <m/>
    <m/>
    <m/>
    <m/>
    <m/>
    <m/>
  </r>
  <r>
    <x v="3"/>
    <s v="St. Petersburg College "/>
    <m/>
    <n v="137078"/>
    <x v="13"/>
    <n v="582703"/>
    <n v="559640"/>
    <n v="337510"/>
    <n v="308366"/>
    <n v="0"/>
    <n v="0"/>
    <n v="245193"/>
    <n v="0"/>
    <n v="0"/>
    <n v="251274"/>
    <n v="0"/>
    <n v="0"/>
    <n v="0"/>
    <n v="0"/>
    <n v="0"/>
    <n v="0"/>
    <m/>
    <m/>
    <m/>
    <m/>
    <m/>
    <m/>
    <m/>
    <m/>
    <m/>
    <m/>
    <m/>
    <m/>
  </r>
  <r>
    <x v="3"/>
    <s v="Santa Fe College "/>
    <m/>
    <n v="137096"/>
    <x v="13"/>
    <n v="315827"/>
    <n v="313939"/>
    <n v="237581"/>
    <n v="233467"/>
    <n v="3809"/>
    <n v="4106"/>
    <n v="74437"/>
    <n v="0"/>
    <n v="0"/>
    <n v="76366"/>
    <n v="0"/>
    <n v="0"/>
    <n v="0"/>
    <n v="0"/>
    <n v="0"/>
    <n v="0"/>
    <m/>
    <m/>
    <m/>
    <m/>
    <m/>
    <m/>
    <m/>
    <m/>
    <m/>
    <m/>
    <m/>
    <m/>
  </r>
  <r>
    <x v="3"/>
    <s v="Seminole State College of Florida"/>
    <m/>
    <n v="137209"/>
    <x v="13"/>
    <n v="335487"/>
    <n v="335561"/>
    <n v="228327"/>
    <n v="218881"/>
    <n v="0"/>
    <n v="0"/>
    <n v="107160"/>
    <n v="0"/>
    <n v="0"/>
    <n v="116680"/>
    <n v="0"/>
    <n v="0"/>
    <n v="0"/>
    <n v="0"/>
    <n v="0"/>
    <n v="0"/>
    <m/>
    <m/>
    <m/>
    <m/>
    <m/>
    <m/>
    <m/>
    <m/>
    <m/>
    <m/>
    <m/>
    <m/>
  </r>
  <r>
    <x v="3"/>
    <s v="South Florida State College "/>
    <s v="Reclassified: Met the criteria for Two-Year with Bachelor's in 2015-16, 2016-17, and 2017-18. "/>
    <n v="137315"/>
    <x v="13"/>
    <n v="45615"/>
    <n v="47642"/>
    <n v="26365"/>
    <n v="26094"/>
    <n v="9683"/>
    <n v="10629"/>
    <n v="9157"/>
    <n v="358"/>
    <n v="52"/>
    <n v="10832"/>
    <n v="0"/>
    <n v="87"/>
    <n v="0"/>
    <n v="0"/>
    <n v="0"/>
    <n v="0"/>
    <m/>
    <m/>
    <m/>
    <m/>
    <m/>
    <m/>
    <m/>
    <m/>
    <m/>
    <m/>
    <m/>
    <m/>
  </r>
  <r>
    <x v="3"/>
    <s v="Tallahassee Community College "/>
    <m/>
    <n v="137759"/>
    <x v="6"/>
    <n v="266020"/>
    <n v="261138"/>
    <n v="202267"/>
    <n v="188597"/>
    <n v="9953"/>
    <n v="11117"/>
    <n v="53800"/>
    <n v="0"/>
    <n v="0"/>
    <n v="61424"/>
    <n v="0"/>
    <n v="0"/>
    <n v="0"/>
    <n v="0"/>
    <n v="0"/>
    <n v="0"/>
    <m/>
    <m/>
    <m/>
    <m/>
    <m/>
    <m/>
    <m/>
    <m/>
    <m/>
    <m/>
    <m/>
    <m/>
  </r>
  <r>
    <x v="3"/>
    <s v="Valencia College "/>
    <m/>
    <n v="138187"/>
    <x v="13"/>
    <n v="900907"/>
    <n v="904144"/>
    <n v="636598"/>
    <n v="632191"/>
    <n v="21358"/>
    <n v="16576"/>
    <n v="242951"/>
    <n v="0"/>
    <n v="0"/>
    <n v="255377"/>
    <n v="0"/>
    <n v="0"/>
    <n v="0"/>
    <n v="0"/>
    <n v="0"/>
    <n v="0"/>
    <m/>
    <m/>
    <m/>
    <m/>
    <m/>
    <m/>
    <m/>
    <m/>
    <m/>
    <m/>
    <m/>
    <m/>
  </r>
  <r>
    <x v="4"/>
    <s v="Georgia State University (includes Georgia Perimeter College)"/>
    <m/>
    <s v="139940"/>
    <x v="0"/>
    <n v="1093614.5"/>
    <n v="1079128"/>
    <n v="901399.5"/>
    <n v="878485"/>
    <n v="11156"/>
    <n v="7973"/>
    <n v="181059"/>
    <n v="0"/>
    <n v="0"/>
    <n v="192670"/>
    <n v="0"/>
    <n v="0"/>
    <n v="0"/>
    <n v="0"/>
    <n v="225897"/>
    <n v="225897"/>
    <n v="143032.5"/>
    <n v="121768.5"/>
    <n v="72570.5"/>
    <n v="93810.5"/>
    <n v="10294"/>
    <n v="0"/>
    <n v="0"/>
    <n v="12868.5"/>
    <n v="0"/>
    <n v="0"/>
    <n v="0"/>
    <n v="0"/>
  </r>
  <r>
    <x v="4"/>
    <s v="University of Georgia"/>
    <m/>
    <s v="139959"/>
    <x v="0"/>
    <n v="802634.4"/>
    <n v="825066"/>
    <n v="749903.4"/>
    <n v="756415"/>
    <n v="20526"/>
    <n v="23696"/>
    <n v="32205"/>
    <n v="0"/>
    <n v="0"/>
    <n v="44955"/>
    <n v="0"/>
    <n v="0"/>
    <n v="0"/>
    <n v="0"/>
    <n v="261769.8"/>
    <n v="261769.8"/>
    <n v="214839.6"/>
    <n v="216533.15"/>
    <n v="35639.699999999997"/>
    <n v="37159.800000000003"/>
    <n v="11290.5"/>
    <n v="0"/>
    <n v="0"/>
    <n v="12832.5"/>
    <n v="0"/>
    <n v="0"/>
    <n v="0"/>
    <n v="0"/>
  </r>
  <r>
    <x v="4"/>
    <s v="Georgia Institute of Technology"/>
    <m/>
    <s v="139755"/>
    <x v="1"/>
    <n v="437645"/>
    <n v="438044"/>
    <n v="417829"/>
    <n v="416332"/>
    <n v="14243"/>
    <n v="15181"/>
    <n v="5573"/>
    <n v="0"/>
    <n v="0"/>
    <n v="6531"/>
    <n v="0"/>
    <n v="0"/>
    <n v="0"/>
    <n v="0"/>
    <n v="278585.5"/>
    <n v="278585.5"/>
    <n v="245059.5"/>
    <n v="243712.5"/>
    <n v="2686"/>
    <n v="4653"/>
    <n v="30840"/>
    <n v="0"/>
    <n v="0"/>
    <n v="56925"/>
    <n v="0"/>
    <n v="0"/>
    <n v="0"/>
    <n v="0"/>
  </r>
  <r>
    <x v="4"/>
    <s v="Georgia Southern University"/>
    <m/>
    <s v="139931"/>
    <x v="2"/>
    <n v="520422"/>
    <n v="516394"/>
    <n v="431732"/>
    <n v="425817"/>
    <n v="4571"/>
    <n v="4024"/>
    <n v="84094"/>
    <n v="0"/>
    <n v="25"/>
    <n v="86493"/>
    <n v="0"/>
    <n v="60"/>
    <n v="0"/>
    <n v="0"/>
    <n v="46180"/>
    <n v="46180"/>
    <n v="18251"/>
    <n v="19526"/>
    <n v="802"/>
    <n v="805"/>
    <n v="27124"/>
    <n v="0"/>
    <n v="3"/>
    <n v="27110"/>
    <n v="0"/>
    <n v="59"/>
    <n v="0"/>
    <n v="0"/>
  </r>
  <r>
    <x v="4"/>
    <s v="Kennesaw State University"/>
    <m/>
    <s v="140164"/>
    <x v="2"/>
    <n v="825733"/>
    <n v="858952"/>
    <n v="646648"/>
    <n v="646729"/>
    <n v="1399"/>
    <n v="2475"/>
    <n v="177686"/>
    <n v="0"/>
    <n v="0"/>
    <n v="209748"/>
    <n v="0"/>
    <n v="0"/>
    <n v="0"/>
    <n v="0"/>
    <n v="49519"/>
    <n v="49519"/>
    <n v="22712"/>
    <n v="22281"/>
    <n v="380"/>
    <n v="6"/>
    <n v="26427"/>
    <n v="0"/>
    <n v="0"/>
    <n v="28237"/>
    <n v="0"/>
    <n v="0"/>
    <n v="0"/>
    <n v="0"/>
  </r>
  <r>
    <x v="4"/>
    <s v="University of West Georgia"/>
    <m/>
    <s v="141334"/>
    <x v="2"/>
    <n v="300804"/>
    <n v="301158"/>
    <n v="206474"/>
    <n v="199333"/>
    <n v="10439"/>
    <n v="11114"/>
    <n v="83891"/>
    <n v="0"/>
    <n v="0"/>
    <n v="90711"/>
    <n v="0"/>
    <n v="0"/>
    <n v="0"/>
    <n v="0"/>
    <n v="36455"/>
    <n v="36455"/>
    <n v="7459"/>
    <n v="6242"/>
    <n v="674"/>
    <n v="852"/>
    <n v="28322"/>
    <n v="0"/>
    <n v="0"/>
    <n v="31587"/>
    <n v="0"/>
    <n v="0"/>
    <n v="0"/>
    <n v="0"/>
  </r>
  <r>
    <x v="4"/>
    <s v="Valdosta State University "/>
    <m/>
    <s v="141264"/>
    <x v="2"/>
    <n v="239907"/>
    <n v="236535"/>
    <n v="197812"/>
    <n v="187610"/>
    <n v="2503"/>
    <n v="1373"/>
    <n v="39364"/>
    <n v="228"/>
    <n v="0"/>
    <n v="47324"/>
    <n v="228"/>
    <n v="0"/>
    <n v="0"/>
    <n v="0"/>
    <n v="47071"/>
    <n v="47071"/>
    <n v="14054"/>
    <n v="11996"/>
    <n v="928"/>
    <n v="829"/>
    <n v="32071"/>
    <n v="18"/>
    <n v="0"/>
    <n v="34468"/>
    <n v="21"/>
    <n v="0"/>
    <n v="0"/>
    <n v="0"/>
  </r>
  <r>
    <x v="4"/>
    <s v="Albany State University "/>
    <m/>
    <s v="138716"/>
    <x v="3"/>
    <n v="74123"/>
    <n v="154129.5"/>
    <n v="58209"/>
    <n v="100600.5"/>
    <n v="1336"/>
    <n v="3528"/>
    <n v="13950"/>
    <n v="380"/>
    <n v="248"/>
    <n v="49742"/>
    <n v="89"/>
    <n v="170"/>
    <n v="0"/>
    <n v="0"/>
    <n v="8469"/>
    <n v="8469"/>
    <n v="4591"/>
    <n v="3770"/>
    <n v="459"/>
    <n v="462"/>
    <n v="3395"/>
    <n v="0"/>
    <n v="24"/>
    <n v="2443"/>
    <n v="0"/>
    <n v="0"/>
    <n v="0"/>
    <n v="0"/>
  </r>
  <r>
    <x v="4"/>
    <s v="Armstrong State University"/>
    <m/>
    <s v="138789"/>
    <x v="3"/>
    <n v="166754"/>
    <n v="162144"/>
    <n v="136833"/>
    <n v="128807"/>
    <n v="6905"/>
    <n v="7517"/>
    <n v="23016"/>
    <n v="0"/>
    <n v="0"/>
    <n v="25820"/>
    <n v="0"/>
    <n v="0"/>
    <n v="0"/>
    <n v="0"/>
    <n v="15698"/>
    <n v="15698"/>
    <n v="11839"/>
    <n v="12010"/>
    <n v="0"/>
    <n v="0"/>
    <n v="3859"/>
    <n v="0"/>
    <n v="0"/>
    <n v="3693"/>
    <n v="0"/>
    <n v="0"/>
    <n v="0"/>
    <n v="0"/>
  </r>
  <r>
    <x v="4"/>
    <s v="Clayton State University"/>
    <m/>
    <s v="139311"/>
    <x v="3"/>
    <n v="154812"/>
    <n v="155672"/>
    <n v="106615"/>
    <n v="105092"/>
    <n v="4616"/>
    <n v="3064"/>
    <n v="43581"/>
    <n v="0"/>
    <n v="0"/>
    <n v="47516"/>
    <n v="0"/>
    <n v="0"/>
    <n v="0"/>
    <n v="0"/>
    <n v="7988"/>
    <n v="7988"/>
    <n v="5910"/>
    <n v="5313"/>
    <n v="167"/>
    <n v="471"/>
    <n v="1911"/>
    <n v="0"/>
    <n v="0"/>
    <n v="2078"/>
    <n v="0"/>
    <n v="0"/>
    <n v="0"/>
    <n v="0"/>
  </r>
  <r>
    <x v="4"/>
    <s v="Columbus State University"/>
    <m/>
    <s v="139366"/>
    <x v="3"/>
    <n v="175996"/>
    <n v="172675"/>
    <n v="134992"/>
    <n v="131445"/>
    <n v="6783"/>
    <n v="6378"/>
    <n v="34209"/>
    <n v="12"/>
    <n v="0"/>
    <n v="34693"/>
    <n v="159"/>
    <n v="0"/>
    <n v="0"/>
    <n v="0"/>
    <n v="27587"/>
    <n v="27587"/>
    <n v="10401"/>
    <n v="10113"/>
    <n v="761"/>
    <n v="1639"/>
    <n v="16425"/>
    <n v="0"/>
    <n v="0"/>
    <n v="19169"/>
    <n v="0"/>
    <n v="0"/>
    <n v="0"/>
    <n v="0"/>
  </r>
  <r>
    <x v="4"/>
    <s v="Fort Valley State University"/>
    <m/>
    <s v="139719"/>
    <x v="3"/>
    <n v="64203"/>
    <n v="65044"/>
    <n v="51987"/>
    <n v="54073"/>
    <n v="294"/>
    <n v="54"/>
    <n v="10718"/>
    <n v="0"/>
    <n v="1204"/>
    <n v="10038"/>
    <n v="0"/>
    <n v="879"/>
    <n v="0"/>
    <n v="0"/>
    <n v="7074"/>
    <n v="7074"/>
    <n v="5732"/>
    <n v="5456"/>
    <n v="0"/>
    <n v="0"/>
    <n v="1339"/>
    <n v="0"/>
    <n v="3"/>
    <n v="1306"/>
    <n v="0"/>
    <n v="39"/>
    <n v="0"/>
    <n v="0"/>
  </r>
  <r>
    <x v="4"/>
    <s v="Georgia College and State University"/>
    <m/>
    <s v="139861"/>
    <x v="3"/>
    <n v="181608"/>
    <n v="178258.5"/>
    <n v="165381.5"/>
    <n v="162182"/>
    <n v="2373.5"/>
    <n v="1870.5"/>
    <n v="13853"/>
    <n v="0"/>
    <n v="0"/>
    <n v="14206"/>
    <n v="0"/>
    <n v="0"/>
    <n v="0"/>
    <n v="0"/>
    <n v="17484"/>
    <n v="17484"/>
    <n v="4520"/>
    <n v="3996"/>
    <n v="2631"/>
    <n v="1226"/>
    <n v="10333"/>
    <n v="0"/>
    <n v="0"/>
    <n v="14420"/>
    <n v="0"/>
    <n v="0"/>
    <n v="0"/>
    <n v="0"/>
  </r>
  <r>
    <x v="4"/>
    <s v="Georgia Regents University"/>
    <m/>
    <s v="482149"/>
    <x v="3"/>
    <n v="138904"/>
    <n v="142097"/>
    <n v="120934"/>
    <n v="121141"/>
    <n v="2167"/>
    <n v="2889"/>
    <n v="15803"/>
    <n v="0"/>
    <n v="0"/>
    <n v="18067"/>
    <n v="0"/>
    <n v="0"/>
    <n v="0"/>
    <n v="0"/>
    <n v="187831"/>
    <n v="187831"/>
    <n v="159735"/>
    <n v="166283"/>
    <n v="17986"/>
    <n v="15075"/>
    <n v="10110"/>
    <n v="0"/>
    <n v="0"/>
    <n v="9218"/>
    <n v="0"/>
    <n v="0"/>
    <n v="0"/>
    <n v="0"/>
  </r>
  <r>
    <x v="4"/>
    <s v="University of North Georgia"/>
    <m/>
    <n v="482680"/>
    <x v="3"/>
    <n v="429578"/>
    <n v="443780"/>
    <n v="387679"/>
    <n v="390533"/>
    <n v="3368"/>
    <n v="3986"/>
    <n v="38531"/>
    <n v="0"/>
    <n v="0"/>
    <n v="49261"/>
    <n v="0"/>
    <n v="0"/>
    <n v="0"/>
    <n v="0"/>
    <n v="10583"/>
    <n v="10583"/>
    <n v="7159"/>
    <n v="7143"/>
    <n v="1050"/>
    <n v="1095"/>
    <n v="2374"/>
    <n v="0"/>
    <n v="0"/>
    <n v="3853"/>
    <n v="0"/>
    <n v="0"/>
    <n v="0"/>
    <n v="0"/>
  </r>
  <r>
    <x v="4"/>
    <s v="Georgia Southwestern State University"/>
    <s v="Reclassifed: Met the criteria for Four-Year 4 in 2015-16, 2016-17, and 2017-18."/>
    <s v="139764"/>
    <x v="3"/>
    <n v="63932"/>
    <n v="65656"/>
    <n v="43573"/>
    <n v="43905"/>
    <n v="1271"/>
    <n v="1454"/>
    <n v="19088"/>
    <n v="0"/>
    <n v="0"/>
    <n v="20297"/>
    <n v="0"/>
    <n v="0"/>
    <n v="0"/>
    <n v="0"/>
    <n v="8722"/>
    <n v="8722"/>
    <n v="4086"/>
    <n v="4055"/>
    <n v="0"/>
    <n v="0"/>
    <n v="4636"/>
    <n v="0"/>
    <n v="0"/>
    <n v="6155"/>
    <n v="0"/>
    <n v="0"/>
    <n v="0"/>
    <n v="0"/>
  </r>
  <r>
    <x v="4"/>
    <s v="Savannah State University"/>
    <m/>
    <s v="140960"/>
    <x v="4"/>
    <n v="130266"/>
    <n v="123043"/>
    <n v="119282"/>
    <n v="111139"/>
    <n v="385"/>
    <n v="596"/>
    <n v="10599"/>
    <n v="0"/>
    <n v="0"/>
    <n v="11308"/>
    <n v="0"/>
    <n v="0"/>
    <n v="0"/>
    <n v="0"/>
    <n v="3819"/>
    <n v="3819"/>
    <n v="2154"/>
    <n v="1930"/>
    <n v="1212"/>
    <n v="1200"/>
    <n v="453"/>
    <n v="0"/>
    <n v="0"/>
    <n v="900"/>
    <n v="0"/>
    <n v="0"/>
    <n v="0"/>
    <n v="0"/>
  </r>
  <r>
    <x v="4"/>
    <s v="College of Coastal Georgia "/>
    <m/>
    <s v="139250"/>
    <x v="5"/>
    <n v="79408"/>
    <n v="84607"/>
    <n v="64693"/>
    <n v="65858"/>
    <n v="726"/>
    <n v="959"/>
    <n v="13989"/>
    <n v="0"/>
    <n v="0"/>
    <n v="17790"/>
    <n v="0"/>
    <n v="0"/>
    <n v="0"/>
    <n v="0"/>
    <n v="0"/>
    <m/>
    <m/>
    <m/>
    <m/>
    <m/>
    <m/>
    <m/>
    <m/>
    <m/>
    <m/>
    <m/>
    <m/>
    <m/>
  </r>
  <r>
    <x v="4"/>
    <s v="Dalton State College "/>
    <m/>
    <s v="139463"/>
    <x v="5"/>
    <n v="120396"/>
    <n v="120102"/>
    <n v="107404"/>
    <n v="103988"/>
    <n v="4723"/>
    <n v="4716"/>
    <n v="8269"/>
    <n v="0"/>
    <n v="0"/>
    <n v="11398"/>
    <n v="0"/>
    <n v="0"/>
    <n v="0"/>
    <n v="0"/>
    <n v="0"/>
    <m/>
    <m/>
    <m/>
    <m/>
    <m/>
    <m/>
    <m/>
    <m/>
    <m/>
    <m/>
    <m/>
    <m/>
    <m/>
  </r>
  <r>
    <x v="4"/>
    <s v="Georgia Gwinnett College"/>
    <m/>
    <s v="447689"/>
    <x v="5"/>
    <n v="293483"/>
    <n v="297820"/>
    <n v="290767"/>
    <n v="292570"/>
    <n v="32"/>
    <n v="165"/>
    <n v="2684"/>
    <n v="0"/>
    <n v="0"/>
    <n v="5085"/>
    <n v="0"/>
    <n v="0"/>
    <n v="0"/>
    <n v="0"/>
    <n v="0"/>
    <m/>
    <m/>
    <m/>
    <m/>
    <m/>
    <m/>
    <m/>
    <m/>
    <m/>
    <m/>
    <m/>
    <m/>
    <m/>
  </r>
  <r>
    <x v="4"/>
    <s v="Middle Georgia State College"/>
    <m/>
    <n v="482158"/>
    <x v="5"/>
    <n v="183213"/>
    <n v="174380"/>
    <n v="115961"/>
    <n v="113621"/>
    <n v="11452"/>
    <n v="1410"/>
    <n v="54206"/>
    <n v="1594"/>
    <n v="0"/>
    <n v="56883"/>
    <n v="2466"/>
    <n v="0"/>
    <n v="0"/>
    <n v="0"/>
    <n v="1203"/>
    <n v="1203"/>
    <m/>
    <n v="108"/>
    <n v="0"/>
    <n v="0"/>
    <n v="1203"/>
    <n v="0"/>
    <n v="0"/>
    <n v="1763"/>
    <n v="0"/>
    <n v="0"/>
    <n v="0"/>
    <n v="0"/>
  </r>
  <r>
    <x v="4"/>
    <s v="Abraham Baldwin Agricultural College "/>
    <s v="Met the criteria for Four-Year 6 in 2017-18. "/>
    <s v="138558"/>
    <x v="13"/>
    <n v="85401"/>
    <n v="84988"/>
    <n v="77313"/>
    <n v="78877"/>
    <n v="3847"/>
    <n v="2857"/>
    <n v="3908"/>
    <n v="54"/>
    <n v="279"/>
    <n v="3254"/>
    <n v="0"/>
    <n v="0"/>
    <n v="0"/>
    <n v="0"/>
    <n v="0"/>
    <m/>
    <m/>
    <m/>
    <m/>
    <m/>
    <m/>
    <m/>
    <m/>
    <m/>
    <m/>
    <m/>
    <m/>
    <m/>
  </r>
  <r>
    <x v="4"/>
    <s v="Atlanta Metropolitan State College"/>
    <m/>
    <s v="138901"/>
    <x v="13"/>
    <n v="62521"/>
    <n v="58398"/>
    <n v="46453"/>
    <n v="42881"/>
    <n v="372"/>
    <n v="306"/>
    <n v="15696"/>
    <n v="0"/>
    <n v="0"/>
    <n v="15211"/>
    <n v="0"/>
    <n v="0"/>
    <n v="0"/>
    <n v="0"/>
    <n v="0"/>
    <m/>
    <m/>
    <m/>
    <m/>
    <m/>
    <m/>
    <m/>
    <m/>
    <m/>
    <m/>
    <m/>
    <m/>
    <m/>
  </r>
  <r>
    <x v="4"/>
    <s v="Darton State College "/>
    <s v="Met the criteria for Two-Year 3 in 2017-18. "/>
    <s v="138691"/>
    <x v="13"/>
    <n v="107997"/>
    <n v="0"/>
    <n v="55340"/>
    <m/>
    <n v="2534"/>
    <m/>
    <n v="50123"/>
    <n v="0"/>
    <n v="0"/>
    <m/>
    <m/>
    <m/>
    <n v="0"/>
    <m/>
    <n v="0"/>
    <m/>
    <m/>
    <m/>
    <m/>
    <m/>
    <m/>
    <m/>
    <m/>
    <m/>
    <m/>
    <m/>
    <m/>
    <m/>
  </r>
  <r>
    <x v="4"/>
    <s v="East Georgia State College"/>
    <m/>
    <s v="139621"/>
    <x v="13"/>
    <n v="72358"/>
    <n v="70657"/>
    <n v="39560"/>
    <n v="40891"/>
    <n v="18315"/>
    <n v="13031"/>
    <n v="14319"/>
    <n v="0"/>
    <n v="164"/>
    <n v="10481"/>
    <n v="0"/>
    <n v="6254"/>
    <n v="0"/>
    <n v="0"/>
    <n v="0"/>
    <m/>
    <m/>
    <m/>
    <m/>
    <m/>
    <m/>
    <m/>
    <m/>
    <m/>
    <m/>
    <m/>
    <m/>
    <m/>
  </r>
  <r>
    <x v="4"/>
    <s v="Georgia Highlands College"/>
    <s v="Reclassified: Met the criteria for Two-Year with Bachelor's in 2015-16, 2016-17, and 2017-18. "/>
    <s v="139700"/>
    <x v="13"/>
    <n v="128440"/>
    <n v="130593"/>
    <n v="76615"/>
    <n v="77877"/>
    <n v="23851"/>
    <n v="20578"/>
    <n v="27941"/>
    <n v="33"/>
    <n v="0"/>
    <n v="32138"/>
    <n v="0"/>
    <n v="0"/>
    <n v="0"/>
    <n v="0"/>
    <n v="0"/>
    <m/>
    <m/>
    <m/>
    <m/>
    <m/>
    <m/>
    <m/>
    <m/>
    <m/>
    <m/>
    <m/>
    <m/>
    <m/>
  </r>
  <r>
    <x v="4"/>
    <s v="Gordon State College "/>
    <s v="Met the criteria for Four-Year 6 in 2017-18. "/>
    <s v="139968"/>
    <x v="13"/>
    <n v="91418"/>
    <n v="91272"/>
    <n v="72579"/>
    <n v="68474"/>
    <n v="4108"/>
    <n v="5759"/>
    <n v="14674"/>
    <n v="57"/>
    <n v="0"/>
    <n v="17039"/>
    <n v="0"/>
    <n v="0"/>
    <n v="0"/>
    <n v="0"/>
    <n v="0"/>
    <m/>
    <m/>
    <m/>
    <m/>
    <m/>
    <m/>
    <m/>
    <m/>
    <m/>
    <m/>
    <m/>
    <m/>
    <m/>
  </r>
  <r>
    <x v="4"/>
    <s v="South Georgia State College"/>
    <m/>
    <n v="482699"/>
    <x v="13"/>
    <n v="62670"/>
    <n v="62094"/>
    <n v="27275"/>
    <n v="24171"/>
    <n v="28532"/>
    <n v="26275"/>
    <n v="6863"/>
    <n v="0"/>
    <n v="0"/>
    <n v="11648"/>
    <m/>
    <m/>
    <n v="0"/>
    <m/>
    <n v="0"/>
    <m/>
    <m/>
    <m/>
    <m/>
    <m/>
    <m/>
    <m/>
    <m/>
    <m/>
    <m/>
    <m/>
    <m/>
    <m/>
  </r>
  <r>
    <x v="4"/>
    <s v="Georgia Perimeter College  (now reported with Georgia State University)"/>
    <s v="Met the criteria for Two-Year 3 in 2017-18. "/>
    <s v="244437"/>
    <x v="6"/>
    <n v="0"/>
    <n v="0"/>
    <m/>
    <m/>
    <m/>
    <m/>
    <m/>
    <m/>
    <m/>
    <m/>
    <n v="0"/>
    <n v="0"/>
    <m/>
    <n v="0"/>
    <n v="0"/>
    <m/>
    <m/>
    <m/>
    <m/>
    <m/>
    <m/>
    <m/>
    <m/>
    <m/>
    <m/>
    <m/>
    <m/>
    <m/>
  </r>
  <r>
    <x v="4"/>
    <s v="Bainbridge State College "/>
    <s v="Met the criteria for Two-Year with Bachelor's in 2017-18. "/>
    <s v="139010"/>
    <x v="8"/>
    <n v="51395"/>
    <n v="41554"/>
    <n v="27065"/>
    <n v="19634"/>
    <n v="8565"/>
    <n v="6993"/>
    <n v="15765"/>
    <n v="0"/>
    <n v="0"/>
    <n v="14927"/>
    <n v="0"/>
    <n v="0"/>
    <n v="0"/>
    <n v="0"/>
    <n v="0"/>
    <m/>
    <m/>
    <m/>
    <m/>
    <m/>
    <m/>
    <m/>
    <m/>
    <m/>
    <m/>
    <m/>
    <m/>
    <m/>
  </r>
  <r>
    <x v="4"/>
    <s v="Albany Technical College"/>
    <m/>
    <n v="138682"/>
    <x v="9"/>
    <n v="85229"/>
    <n v="78571"/>
    <n v="46914"/>
    <n v="40773"/>
    <m/>
    <m/>
    <n v="38315"/>
    <n v="0"/>
    <n v="0"/>
    <n v="37798"/>
    <n v="0"/>
    <m/>
    <m/>
    <m/>
    <n v="0"/>
    <n v="0"/>
    <m/>
    <m/>
    <m/>
    <m/>
    <m/>
    <m/>
    <m/>
    <m/>
    <m/>
    <m/>
    <m/>
    <m/>
  </r>
  <r>
    <x v="4"/>
    <s v="Athens Technical College"/>
    <m/>
    <n v="246813"/>
    <x v="9"/>
    <n v="78469"/>
    <n v="82773"/>
    <n v="63470"/>
    <n v="66000"/>
    <m/>
    <m/>
    <n v="14651"/>
    <n v="348"/>
    <n v="0"/>
    <n v="16741"/>
    <n v="32"/>
    <m/>
    <m/>
    <m/>
    <n v="0"/>
    <n v="0"/>
    <m/>
    <m/>
    <m/>
    <m/>
    <m/>
    <m/>
    <m/>
    <m/>
    <m/>
    <m/>
    <m/>
    <m/>
  </r>
  <r>
    <x v="4"/>
    <s v="Atlanta Technical College"/>
    <m/>
    <n v="138840"/>
    <x v="9"/>
    <n v="96519"/>
    <n v="96224"/>
    <n v="63442"/>
    <n v="56558"/>
    <m/>
    <m/>
    <n v="33077"/>
    <n v="0"/>
    <n v="0"/>
    <n v="39666"/>
    <n v="0"/>
    <m/>
    <m/>
    <m/>
    <n v="0"/>
    <n v="0"/>
    <m/>
    <m/>
    <m/>
    <m/>
    <m/>
    <m/>
    <m/>
    <m/>
    <m/>
    <m/>
    <m/>
    <m/>
  </r>
  <r>
    <x v="4"/>
    <s v="Augusta Technical College"/>
    <m/>
    <n v="138956"/>
    <x v="9"/>
    <n v="97912"/>
    <n v="97659"/>
    <n v="88138"/>
    <n v="87518"/>
    <m/>
    <m/>
    <n v="9774"/>
    <n v="0"/>
    <n v="0"/>
    <n v="10141"/>
    <n v="0"/>
    <m/>
    <m/>
    <m/>
    <n v="0"/>
    <n v="0"/>
    <m/>
    <m/>
    <m/>
    <m/>
    <m/>
    <m/>
    <m/>
    <m/>
    <m/>
    <m/>
    <m/>
    <m/>
  </r>
  <r>
    <x v="4"/>
    <s v="Central Georgia Technical College"/>
    <m/>
    <n v="483045"/>
    <x v="9"/>
    <n v="171355"/>
    <n v="164946"/>
    <n v="98491"/>
    <n v="93921"/>
    <m/>
    <m/>
    <n v="61616"/>
    <n v="11248"/>
    <n v="0"/>
    <n v="59674"/>
    <n v="11351"/>
    <m/>
    <m/>
    <m/>
    <n v="0"/>
    <n v="0"/>
    <m/>
    <m/>
    <m/>
    <m/>
    <m/>
    <m/>
    <m/>
    <m/>
    <m/>
    <m/>
    <m/>
    <m/>
  </r>
  <r>
    <x v="4"/>
    <s v="Chattahoochee Technical College"/>
    <m/>
    <n v="140331"/>
    <x v="9"/>
    <n v="192914"/>
    <n v="192262"/>
    <n v="102589"/>
    <n v="94642"/>
    <m/>
    <m/>
    <n v="90325"/>
    <n v="0"/>
    <n v="0"/>
    <n v="97620"/>
    <n v="0"/>
    <m/>
    <m/>
    <m/>
    <n v="0"/>
    <n v="0"/>
    <m/>
    <m/>
    <m/>
    <m/>
    <m/>
    <m/>
    <m/>
    <m/>
    <m/>
    <m/>
    <m/>
    <m/>
  </r>
  <r>
    <x v="4"/>
    <s v="Coastal Pines Technical College"/>
    <m/>
    <n v="485458"/>
    <x v="9"/>
    <n v="49591"/>
    <n v="55795"/>
    <n v="40116"/>
    <n v="44527"/>
    <m/>
    <m/>
    <n v="9475"/>
    <n v="0"/>
    <n v="0"/>
    <n v="11268"/>
    <n v="0"/>
    <m/>
    <m/>
    <m/>
    <n v="0"/>
    <n v="0"/>
    <m/>
    <m/>
    <m/>
    <m/>
    <m/>
    <m/>
    <m/>
    <m/>
    <m/>
    <m/>
    <m/>
    <m/>
  </r>
  <r>
    <x v="4"/>
    <s v="Columbus Technical College"/>
    <m/>
    <n v="139357"/>
    <x v="9"/>
    <n v="68745.3"/>
    <n v="66237.600000000006"/>
    <n v="48350.3"/>
    <n v="45247.6"/>
    <m/>
    <m/>
    <n v="20395"/>
    <n v="0"/>
    <n v="0"/>
    <n v="20990"/>
    <n v="0"/>
    <m/>
    <m/>
    <m/>
    <n v="0"/>
    <n v="0"/>
    <m/>
    <m/>
    <m/>
    <m/>
    <m/>
    <m/>
    <m/>
    <m/>
    <m/>
    <m/>
    <m/>
    <m/>
  </r>
  <r>
    <x v="4"/>
    <s v="Georgia Northwestern Technical College"/>
    <m/>
    <n v="139384"/>
    <x v="9"/>
    <n v="119170"/>
    <n v="110511"/>
    <n v="80566"/>
    <n v="70215"/>
    <m/>
    <m/>
    <n v="38604"/>
    <n v="0"/>
    <n v="0"/>
    <n v="40296"/>
    <n v="0"/>
    <m/>
    <m/>
    <m/>
    <n v="0"/>
    <n v="0"/>
    <m/>
    <m/>
    <m/>
    <m/>
    <m/>
    <m/>
    <m/>
    <m/>
    <m/>
    <m/>
    <m/>
    <m/>
  </r>
  <r>
    <x v="4"/>
    <s v="Georgia Piedmont Technical College"/>
    <m/>
    <n v="244446"/>
    <x v="9"/>
    <n v="86333"/>
    <n v="90588.5"/>
    <n v="41716"/>
    <n v="46191.5"/>
    <m/>
    <m/>
    <n v="44617"/>
    <n v="0"/>
    <n v="0"/>
    <n v="44397"/>
    <n v="0"/>
    <m/>
    <m/>
    <m/>
    <n v="0"/>
    <n v="0"/>
    <m/>
    <m/>
    <m/>
    <m/>
    <m/>
    <m/>
    <m/>
    <m/>
    <m/>
    <m/>
    <m/>
    <m/>
  </r>
  <r>
    <x v="4"/>
    <s v="Gwinnett Technical College"/>
    <m/>
    <n v="140012"/>
    <x v="9"/>
    <n v="141261"/>
    <n v="155430"/>
    <n v="86586"/>
    <n v="94385"/>
    <m/>
    <m/>
    <n v="54675"/>
    <n v="0"/>
    <n v="0"/>
    <n v="61045"/>
    <n v="0"/>
    <m/>
    <m/>
    <m/>
    <n v="0"/>
    <n v="0"/>
    <m/>
    <m/>
    <m/>
    <m/>
    <m/>
    <m/>
    <m/>
    <m/>
    <m/>
    <m/>
    <m/>
    <m/>
  </r>
  <r>
    <x v="4"/>
    <s v="Lanier Technical College"/>
    <m/>
    <n v="140243"/>
    <x v="9"/>
    <n v="72584"/>
    <n v="73379"/>
    <n v="48463"/>
    <n v="50007"/>
    <m/>
    <m/>
    <n v="24121"/>
    <n v="0"/>
    <n v="0"/>
    <n v="23372"/>
    <n v="0"/>
    <m/>
    <m/>
    <m/>
    <n v="0"/>
    <n v="0"/>
    <m/>
    <m/>
    <m/>
    <m/>
    <m/>
    <m/>
    <m/>
    <m/>
    <m/>
    <m/>
    <m/>
    <m/>
  </r>
  <r>
    <x v="4"/>
    <s v="North Georgia Technical College"/>
    <m/>
    <n v="140678"/>
    <x v="9"/>
    <n v="58671"/>
    <n v="57264"/>
    <n v="40416"/>
    <n v="39851"/>
    <m/>
    <m/>
    <n v="18255"/>
    <n v="0"/>
    <n v="0"/>
    <n v="17413"/>
    <n v="0"/>
    <m/>
    <m/>
    <m/>
    <n v="0"/>
    <n v="0"/>
    <m/>
    <m/>
    <m/>
    <m/>
    <m/>
    <m/>
    <m/>
    <m/>
    <m/>
    <m/>
    <m/>
    <m/>
  </r>
  <r>
    <x v="4"/>
    <s v="Oconee Fall Line Technical College"/>
    <s v="Met the criteria for Technical Institute or College - Size Unknown in 2017-18. "/>
    <n v="420431"/>
    <x v="9"/>
    <n v="31309"/>
    <n v="29021"/>
    <n v="21123"/>
    <n v="19862"/>
    <m/>
    <m/>
    <n v="10186"/>
    <n v="0"/>
    <n v="0"/>
    <n v="9159"/>
    <n v="0"/>
    <m/>
    <m/>
    <m/>
    <n v="0"/>
    <n v="0"/>
    <m/>
    <m/>
    <m/>
    <m/>
    <m/>
    <m/>
    <m/>
    <m/>
    <m/>
    <m/>
    <m/>
    <m/>
  </r>
  <r>
    <x v="4"/>
    <s v="Ogeechee Technical College"/>
    <m/>
    <n v="366465"/>
    <x v="9"/>
    <n v="48844"/>
    <n v="47175"/>
    <n v="34951"/>
    <n v="32775"/>
    <m/>
    <m/>
    <n v="13893"/>
    <n v="0"/>
    <n v="0"/>
    <n v="14400"/>
    <n v="0"/>
    <m/>
    <m/>
    <m/>
    <n v="0"/>
    <n v="0"/>
    <m/>
    <m/>
    <m/>
    <m/>
    <m/>
    <m/>
    <m/>
    <m/>
    <m/>
    <m/>
    <m/>
    <m/>
  </r>
  <r>
    <x v="4"/>
    <s v="Savannah Technical College"/>
    <m/>
    <n v="140942"/>
    <x v="9"/>
    <n v="91358"/>
    <n v="87865"/>
    <n v="67460"/>
    <n v="64030"/>
    <m/>
    <m/>
    <n v="23834"/>
    <n v="64"/>
    <n v="0"/>
    <n v="23835"/>
    <n v="0"/>
    <m/>
    <m/>
    <m/>
    <n v="0"/>
    <n v="0"/>
    <m/>
    <m/>
    <m/>
    <m/>
    <m/>
    <m/>
    <m/>
    <m/>
    <m/>
    <m/>
    <m/>
    <m/>
  </r>
  <r>
    <x v="4"/>
    <s v="South Georgia Technical College"/>
    <m/>
    <n v="141006"/>
    <x v="9"/>
    <n v="44867"/>
    <n v="45742"/>
    <n v="42008"/>
    <n v="39296"/>
    <m/>
    <m/>
    <n v="2859"/>
    <n v="0"/>
    <n v="0"/>
    <n v="6446"/>
    <n v="0"/>
    <m/>
    <m/>
    <m/>
    <n v="0"/>
    <n v="0"/>
    <m/>
    <m/>
    <m/>
    <m/>
    <m/>
    <m/>
    <m/>
    <m/>
    <m/>
    <m/>
    <m/>
    <m/>
  </r>
  <r>
    <x v="4"/>
    <s v="Southeastern Technical College"/>
    <m/>
    <n v="368911"/>
    <x v="9"/>
    <n v="34559"/>
    <n v="34581"/>
    <n v="27633"/>
    <n v="26693"/>
    <m/>
    <m/>
    <n v="6926"/>
    <n v="0"/>
    <n v="0"/>
    <n v="7888"/>
    <n v="0"/>
    <m/>
    <m/>
    <m/>
    <n v="0"/>
    <n v="0"/>
    <m/>
    <m/>
    <m/>
    <m/>
    <m/>
    <m/>
    <m/>
    <m/>
    <m/>
    <m/>
    <m/>
    <m/>
  </r>
  <r>
    <x v="4"/>
    <s v="Southern Crescent Technical College"/>
    <m/>
    <n v="139986"/>
    <x v="9"/>
    <n v="95562"/>
    <n v="94521"/>
    <n v="68316"/>
    <n v="64940"/>
    <m/>
    <m/>
    <n v="27246"/>
    <n v="0"/>
    <n v="0"/>
    <n v="29581"/>
    <n v="0"/>
    <m/>
    <m/>
    <m/>
    <n v="0"/>
    <n v="0"/>
    <m/>
    <m/>
    <m/>
    <m/>
    <m/>
    <m/>
    <m/>
    <m/>
    <m/>
    <m/>
    <m/>
    <m/>
  </r>
  <r>
    <x v="4"/>
    <s v="Southern Regional Technical College"/>
    <m/>
    <n v="487162"/>
    <x v="9"/>
    <n v="76052"/>
    <n v="79454"/>
    <n v="57023"/>
    <n v="57782"/>
    <m/>
    <m/>
    <n v="19029"/>
    <n v="0"/>
    <n v="0"/>
    <n v="21672"/>
    <n v="0"/>
    <m/>
    <m/>
    <m/>
    <n v="0"/>
    <n v="0"/>
    <m/>
    <m/>
    <m/>
    <m/>
    <m/>
    <m/>
    <m/>
    <m/>
    <m/>
    <m/>
    <m/>
    <m/>
  </r>
  <r>
    <x v="4"/>
    <s v="West Georgia Technical College"/>
    <m/>
    <n v="139278"/>
    <x v="9"/>
    <n v="134840"/>
    <n v="133485"/>
    <n v="93873"/>
    <n v="91035"/>
    <m/>
    <m/>
    <n v="40967"/>
    <n v="0"/>
    <n v="0"/>
    <n v="42450"/>
    <n v="0"/>
    <m/>
    <m/>
    <m/>
    <n v="0"/>
    <n v="0"/>
    <m/>
    <m/>
    <m/>
    <m/>
    <m/>
    <m/>
    <m/>
    <m/>
    <m/>
    <m/>
    <m/>
    <m/>
  </r>
  <r>
    <x v="4"/>
    <s v="Wiregrass Georgia Technical College"/>
    <m/>
    <n v="141255"/>
    <x v="9"/>
    <n v="75341"/>
    <n v="76205"/>
    <n v="60043"/>
    <n v="62118"/>
    <m/>
    <m/>
    <n v="15298"/>
    <n v="0"/>
    <n v="0"/>
    <n v="14087"/>
    <n v="0"/>
    <m/>
    <m/>
    <m/>
    <n v="0"/>
    <n v="0"/>
    <m/>
    <m/>
    <m/>
    <m/>
    <m/>
    <m/>
    <m/>
    <m/>
    <m/>
    <m/>
    <m/>
    <m/>
  </r>
  <r>
    <x v="5"/>
    <s v="University of Kentucky"/>
    <m/>
    <n v="157085"/>
    <x v="0"/>
    <n v="687956"/>
    <n v="679007"/>
    <n v="634640"/>
    <n v="618621"/>
    <n v="7513"/>
    <n v="6688"/>
    <n v="44291"/>
    <n v="946"/>
    <n v="566"/>
    <n v="52263"/>
    <n v="180"/>
    <n v="1255"/>
    <m/>
    <m/>
    <n v="80001"/>
    <n v="83737"/>
    <n v="63229"/>
    <n v="65706"/>
    <n v="1587"/>
    <n v="377"/>
    <n v="14591"/>
    <n v="456"/>
    <n v="138"/>
    <n v="17360"/>
    <m/>
    <n v="294"/>
    <m/>
    <m/>
  </r>
  <r>
    <x v="5"/>
    <s v="University of Louisville"/>
    <m/>
    <n v="157289"/>
    <x v="0"/>
    <n v="408801"/>
    <n v="399252"/>
    <n v="349707"/>
    <n v="338779"/>
    <n v="15186"/>
    <n v="13123"/>
    <n v="43908"/>
    <m/>
    <m/>
    <n v="47350"/>
    <m/>
    <m/>
    <m/>
    <m/>
    <n v="78494"/>
    <n v="77483"/>
    <n v="54520"/>
    <n v="54360"/>
    <n v="10598"/>
    <n v="6396"/>
    <n v="13376"/>
    <m/>
    <m/>
    <n v="16727"/>
    <m/>
    <m/>
    <m/>
    <m/>
  </r>
  <r>
    <x v="5"/>
    <s v="Eastern Kentucky University "/>
    <m/>
    <n v="156620"/>
    <x v="2"/>
    <n v="399992"/>
    <n v="392352"/>
    <n v="304647"/>
    <n v="300699"/>
    <n v="14590"/>
    <n v="14241"/>
    <n v="71040"/>
    <n v="7528"/>
    <n v="2187"/>
    <n v="68592"/>
    <n v="8290"/>
    <n v="530"/>
    <m/>
    <m/>
    <n v="44682"/>
    <n v="43235"/>
    <n v="16003"/>
    <n v="15586"/>
    <n v="953"/>
    <n v="880"/>
    <n v="27223"/>
    <n v="3"/>
    <n v="500"/>
    <n v="26323"/>
    <n v="90"/>
    <n v="356"/>
    <m/>
    <m/>
  </r>
  <r>
    <x v="5"/>
    <s v="Morehead State University "/>
    <m/>
    <n v="157386"/>
    <x v="2"/>
    <n v="205440"/>
    <n v="204679"/>
    <n v="131975"/>
    <n v="121009"/>
    <n v="21141"/>
    <n v="29264"/>
    <n v="47136"/>
    <n v="5188"/>
    <m/>
    <n v="50257"/>
    <n v="4149"/>
    <m/>
    <m/>
    <m/>
    <n v="15485"/>
    <n v="13946"/>
    <n v="2500"/>
    <n v="1647"/>
    <n v="576"/>
    <n v="901"/>
    <n v="12406"/>
    <n v="3"/>
    <m/>
    <n v="11266"/>
    <n v="132"/>
    <m/>
    <m/>
    <m/>
  </r>
  <r>
    <x v="5"/>
    <s v="Murray State University "/>
    <m/>
    <n v="157401"/>
    <x v="2"/>
    <n v="235157"/>
    <n v="222238"/>
    <n v="194523"/>
    <n v="180036"/>
    <n v="10331"/>
    <n v="10039"/>
    <n v="21917"/>
    <n v="8386"/>
    <m/>
    <n v="24470"/>
    <n v="7693"/>
    <m/>
    <m/>
    <m/>
    <n v="26169"/>
    <n v="22040"/>
    <n v="12993"/>
    <n v="10655"/>
    <n v="1729"/>
    <n v="1325"/>
    <n v="10709"/>
    <n v="738"/>
    <m/>
    <n v="9673"/>
    <n v="387"/>
    <m/>
    <m/>
    <m/>
  </r>
  <r>
    <x v="5"/>
    <s v="Northern Kentucky University "/>
    <m/>
    <n v="157447"/>
    <x v="2"/>
    <n v="358579"/>
    <n v="346325"/>
    <n v="280366"/>
    <n v="264139"/>
    <n v="13787"/>
    <n v="15109"/>
    <n v="64219"/>
    <n v="207"/>
    <m/>
    <n v="66861"/>
    <n v="216"/>
    <m/>
    <m/>
    <m/>
    <n v="35501"/>
    <n v="36073"/>
    <n v="25286"/>
    <n v="25156"/>
    <n v="951"/>
    <n v="846"/>
    <n v="9264"/>
    <m/>
    <m/>
    <n v="10071"/>
    <m/>
    <m/>
    <m/>
    <m/>
  </r>
  <r>
    <x v="5"/>
    <s v="Western Kentucky University "/>
    <m/>
    <n v="157951"/>
    <x v="2"/>
    <n v="433717"/>
    <n v="430776"/>
    <n v="323109"/>
    <n v="318133"/>
    <n v="27776"/>
    <n v="30579"/>
    <n v="78060"/>
    <n v="4678"/>
    <n v="94"/>
    <n v="79330"/>
    <n v="2707"/>
    <n v="27"/>
    <m/>
    <m/>
    <n v="43294"/>
    <n v="40507"/>
    <n v="20706"/>
    <n v="18586"/>
    <n v="601"/>
    <n v="473"/>
    <n v="21834"/>
    <n v="153"/>
    <m/>
    <n v="21333"/>
    <n v="115"/>
    <m/>
    <m/>
    <m/>
  </r>
  <r>
    <x v="5"/>
    <s v="Kentucky State University "/>
    <m/>
    <n v="157058"/>
    <x v="3"/>
    <n v="40746"/>
    <n v="44162"/>
    <n v="30841"/>
    <n v="30423"/>
    <m/>
    <n v="213"/>
    <n v="9904"/>
    <n v="1"/>
    <m/>
    <n v="13525"/>
    <n v="1"/>
    <m/>
    <m/>
    <m/>
    <n v="2304"/>
    <n v="2422"/>
    <n v="1873"/>
    <n v="1959"/>
    <m/>
    <m/>
    <n v="431"/>
    <m/>
    <m/>
    <n v="463"/>
    <m/>
    <m/>
    <m/>
    <m/>
  </r>
  <r>
    <x v="5"/>
    <s v="Bluegrass Community and Technical College"/>
    <m/>
    <n v="157173"/>
    <x v="6"/>
    <n v="196250"/>
    <n v="190639"/>
    <n v="89516"/>
    <n v="113143"/>
    <n v="36561"/>
    <n v="6643"/>
    <n v="70173"/>
    <m/>
    <m/>
    <n v="70853"/>
    <m/>
    <m/>
    <m/>
    <m/>
    <n v="0"/>
    <n v="0"/>
    <m/>
    <s v="."/>
    <m/>
    <m/>
    <m/>
    <m/>
    <m/>
    <m/>
    <m/>
    <m/>
    <m/>
    <m/>
  </r>
  <r>
    <x v="5"/>
    <s v="Jefferson Community and Technical College "/>
    <m/>
    <n v="156921"/>
    <x v="6"/>
    <n v="193620"/>
    <n v="193614"/>
    <n v="132063"/>
    <n v="125317"/>
    <n v="8413"/>
    <n v="10459"/>
    <n v="53144"/>
    <m/>
    <m/>
    <n v="57838"/>
    <m/>
    <m/>
    <m/>
    <m/>
    <n v="0"/>
    <n v="0"/>
    <m/>
    <m/>
    <m/>
    <m/>
    <m/>
    <m/>
    <m/>
    <m/>
    <m/>
    <m/>
    <m/>
    <m/>
  </r>
  <r>
    <x v="5"/>
    <s v="Ashland Community and Technical College"/>
    <s v="Met the criteria for Two-Year 3 in 2017-18."/>
    <n v="156231"/>
    <x v="7"/>
    <n v="60306"/>
    <n v="58489"/>
    <n v="32557"/>
    <n v="32592"/>
    <n v="2998"/>
    <n v="2932"/>
    <n v="24751"/>
    <m/>
    <m/>
    <n v="22965"/>
    <m/>
    <m/>
    <m/>
    <m/>
    <n v="0"/>
    <n v="0"/>
    <m/>
    <m/>
    <m/>
    <m/>
    <m/>
    <m/>
    <m/>
    <m/>
    <m/>
    <m/>
    <m/>
    <m/>
  </r>
  <r>
    <x v="5"/>
    <s v="Big Sandy Community and Technical College "/>
    <m/>
    <n v="157553"/>
    <x v="7"/>
    <n v="73628"/>
    <n v="71899"/>
    <n v="38346"/>
    <n v="36659"/>
    <n v="1210"/>
    <n v="779"/>
    <n v="34072"/>
    <m/>
    <m/>
    <n v="34461"/>
    <m/>
    <m/>
    <m/>
    <m/>
    <n v="0"/>
    <n v="0"/>
    <m/>
    <m/>
    <m/>
    <m/>
    <m/>
    <m/>
    <m/>
    <m/>
    <m/>
    <m/>
    <m/>
    <m/>
  </r>
  <r>
    <x v="5"/>
    <s v="Elizabethtown Community and Technical College "/>
    <m/>
    <n v="156648"/>
    <x v="7"/>
    <n v="104845"/>
    <n v="106331"/>
    <n v="53123"/>
    <n v="53764"/>
    <n v="6776"/>
    <n v="6739"/>
    <n v="44946"/>
    <m/>
    <m/>
    <n v="45828"/>
    <m/>
    <m/>
    <m/>
    <m/>
    <n v="0"/>
    <n v="0"/>
    <m/>
    <m/>
    <m/>
    <m/>
    <m/>
    <m/>
    <m/>
    <m/>
    <m/>
    <m/>
    <m/>
    <m/>
  </r>
  <r>
    <x v="5"/>
    <s v="Hopkinsville Community College "/>
    <s v="Reclassified: Met the criteria for Two-Year 3 in 2015-16, 2016-17, and 2017-18."/>
    <n v="156860"/>
    <x v="8"/>
    <n v="54173"/>
    <n v="47436"/>
    <n v="30494"/>
    <n v="26039"/>
    <n v="1009"/>
    <n v="1168"/>
    <n v="22670"/>
    <m/>
    <m/>
    <n v="20229"/>
    <m/>
    <m/>
    <m/>
    <m/>
    <n v="0"/>
    <n v="0"/>
    <m/>
    <m/>
    <m/>
    <m/>
    <m/>
    <m/>
    <m/>
    <m/>
    <m/>
    <m/>
    <m/>
    <m/>
  </r>
  <r>
    <x v="5"/>
    <s v="Madisonville Community College"/>
    <s v="Reclassified: Met the criteria for Two-Year 3 in 2015-16, 2016-17, and 2017-18."/>
    <n v="157304"/>
    <x v="8"/>
    <n v="49567"/>
    <n v="49570"/>
    <n v="23231"/>
    <n v="23091"/>
    <n v="4299"/>
    <n v="3759"/>
    <n v="22037"/>
    <m/>
    <m/>
    <n v="22720"/>
    <m/>
    <m/>
    <m/>
    <m/>
    <n v="0"/>
    <n v="0"/>
    <m/>
    <m/>
    <m/>
    <m/>
    <m/>
    <m/>
    <m/>
    <m/>
    <m/>
    <m/>
    <m/>
    <m/>
  </r>
  <r>
    <x v="5"/>
    <s v="Maysville Community and Technical College "/>
    <m/>
    <n v="157331"/>
    <x v="7"/>
    <n v="68365"/>
    <n v="64602"/>
    <n v="31761"/>
    <n v="30268"/>
    <n v="5340"/>
    <n v="3718"/>
    <n v="31264"/>
    <m/>
    <m/>
    <n v="30616"/>
    <m/>
    <m/>
    <m/>
    <m/>
    <n v="0"/>
    <n v="0"/>
    <m/>
    <m/>
    <m/>
    <m/>
    <m/>
    <m/>
    <m/>
    <m/>
    <m/>
    <m/>
    <m/>
    <m/>
  </r>
  <r>
    <x v="5"/>
    <s v="Owensboro Community and Technical College "/>
    <m/>
    <n v="247940"/>
    <x v="7"/>
    <n v="64294"/>
    <n v="65018"/>
    <n v="41629"/>
    <n v="42798"/>
    <n v="2953"/>
    <n v="2410"/>
    <n v="19712"/>
    <m/>
    <m/>
    <n v="19810"/>
    <m/>
    <m/>
    <m/>
    <m/>
    <n v="0"/>
    <n v="0"/>
    <m/>
    <m/>
    <m/>
    <m/>
    <m/>
    <m/>
    <m/>
    <m/>
    <m/>
    <m/>
    <m/>
    <m/>
  </r>
  <r>
    <x v="5"/>
    <s v="Somerset Community and Technical College "/>
    <m/>
    <n v="157711"/>
    <x v="7"/>
    <n v="120780"/>
    <n v="111398"/>
    <n v="42099"/>
    <n v="44637"/>
    <n v="14934"/>
    <n v="4642"/>
    <n v="63747"/>
    <m/>
    <m/>
    <n v="62119"/>
    <m/>
    <m/>
    <m/>
    <m/>
    <n v="0"/>
    <n v="0"/>
    <m/>
    <m/>
    <m/>
    <m/>
    <m/>
    <m/>
    <m/>
    <m/>
    <m/>
    <m/>
    <m/>
    <m/>
  </r>
  <r>
    <x v="5"/>
    <s v="Southeast Kentucky Community and Technical College"/>
    <s v="Reclassified: Met the criteria for Two-Year 3 in 2015-16, 2016-17, and 2017-18."/>
    <n v="157739"/>
    <x v="8"/>
    <n v="58969"/>
    <n v="75044"/>
    <n v="39407"/>
    <n v="34948"/>
    <m/>
    <n v="20048"/>
    <n v="19562"/>
    <m/>
    <m/>
    <n v="20048"/>
    <m/>
    <m/>
    <m/>
    <m/>
    <n v="0"/>
    <n v="0"/>
    <m/>
    <m/>
    <m/>
    <m/>
    <m/>
    <m/>
    <m/>
    <m/>
    <m/>
    <m/>
    <m/>
    <m/>
  </r>
  <r>
    <x v="5"/>
    <s v="West Kentucky Community and Technical College"/>
    <m/>
    <n v="157483"/>
    <x v="7"/>
    <n v="103111"/>
    <n v="100233"/>
    <n v="53446"/>
    <n v="52415"/>
    <n v="5434"/>
    <n v="5093"/>
    <n v="44231"/>
    <m/>
    <m/>
    <n v="42725"/>
    <m/>
    <m/>
    <m/>
    <m/>
    <n v="0"/>
    <n v="0"/>
    <m/>
    <m/>
    <m/>
    <m/>
    <m/>
    <m/>
    <m/>
    <m/>
    <m/>
    <m/>
    <m/>
    <m/>
  </r>
  <r>
    <x v="5"/>
    <s v="Hazard Community and Technical College"/>
    <m/>
    <n v="156790"/>
    <x v="8"/>
    <n v="56419"/>
    <n v="55266"/>
    <n v="21280"/>
    <n v="19536"/>
    <n v="1740"/>
    <n v="2703"/>
    <n v="33399"/>
    <m/>
    <m/>
    <n v="33027"/>
    <m/>
    <m/>
    <m/>
    <m/>
    <n v="0"/>
    <n v="0"/>
    <m/>
    <m/>
    <m/>
    <m/>
    <m/>
    <m/>
    <m/>
    <m/>
    <m/>
    <m/>
    <m/>
    <m/>
  </r>
  <r>
    <x v="5"/>
    <s v="Henderson Community College "/>
    <m/>
    <n v="156851"/>
    <x v="8"/>
    <n v="26616"/>
    <n v="28589"/>
    <n v="13348"/>
    <n v="14201"/>
    <n v="1174"/>
    <n v="2100"/>
    <n v="12094"/>
    <m/>
    <m/>
    <n v="12288"/>
    <m/>
    <m/>
    <m/>
    <m/>
    <n v="0"/>
    <n v="0"/>
    <m/>
    <m/>
    <m/>
    <m/>
    <m/>
    <m/>
    <m/>
    <m/>
    <m/>
    <m/>
    <m/>
    <m/>
  </r>
  <r>
    <x v="5"/>
    <s v="Gateway Community and Technical College"/>
    <m/>
    <n v="157438"/>
    <x v="9"/>
    <n v="69392"/>
    <n v="70387"/>
    <n v="32873"/>
    <n v="45629"/>
    <n v="15393"/>
    <n v="2535"/>
    <n v="21126"/>
    <m/>
    <m/>
    <n v="22223"/>
    <m/>
    <m/>
    <m/>
    <m/>
    <n v="0"/>
    <n v="0"/>
    <m/>
    <m/>
    <m/>
    <m/>
    <m/>
    <m/>
    <m/>
    <m/>
    <m/>
    <m/>
    <m/>
    <m/>
  </r>
  <r>
    <x v="5"/>
    <s v="Southcentral Kentucky Community and Technical College"/>
    <m/>
    <n v="156338"/>
    <x v="9"/>
    <n v="76774"/>
    <n v="77806"/>
    <n v="45447"/>
    <n v="47783"/>
    <n v="5504"/>
    <n v="5360"/>
    <n v="25823"/>
    <m/>
    <m/>
    <n v="24663"/>
    <m/>
    <m/>
    <m/>
    <m/>
    <n v="0"/>
    <n v="0"/>
    <m/>
    <m/>
    <m/>
    <m/>
    <m/>
    <m/>
    <m/>
    <m/>
    <m/>
    <m/>
    <m/>
    <m/>
  </r>
  <r>
    <x v="6"/>
    <s v="Louisiana State University and A&amp;M College"/>
    <m/>
    <n v="159391"/>
    <x v="0"/>
    <n v="729887.99999999953"/>
    <n v="707259.00000000023"/>
    <n v="713010.13612565398"/>
    <n v="685405.49157303397"/>
    <m/>
    <m/>
    <n v="16877.863874345599"/>
    <m/>
    <m/>
    <n v="21853.508426966298"/>
    <m/>
    <m/>
    <m/>
    <m/>
    <n v="129253.00000000031"/>
    <n v="133260.99999999953"/>
    <n v="123683.86032197"/>
    <n v="127476.066575822"/>
    <m/>
    <m/>
    <n v="5569.1396780303003"/>
    <m/>
    <m/>
    <n v="5784.9334241775396"/>
    <m/>
    <m/>
    <m/>
    <m/>
  </r>
  <r>
    <x v="6"/>
    <s v="Louisiana Tech University "/>
    <m/>
    <n v="159647"/>
    <x v="1"/>
    <n v="271398.00000000041"/>
    <n v="273755"/>
    <n v="237323.023183121"/>
    <n v="235104.339028777"/>
    <m/>
    <m/>
    <n v="34074.976816879403"/>
    <m/>
    <m/>
    <n v="38650.660971222998"/>
    <m/>
    <m/>
    <m/>
    <m/>
    <n v="23923.999999999993"/>
    <n v="24664.999999999978"/>
    <n v="19014.223880597001"/>
    <n v="19296.589769307899"/>
    <m/>
    <m/>
    <n v="4909.7761194029899"/>
    <m/>
    <m/>
    <n v="5368.4102306920804"/>
    <m/>
    <m/>
    <m/>
    <m/>
  </r>
  <r>
    <x v="6"/>
    <s v="University of Louisiana at Lafayette"/>
    <m/>
    <n v="160658"/>
    <x v="1"/>
    <n v="417134.99999999983"/>
    <n v="409857.99999999948"/>
    <n v="383342.97852298402"/>
    <n v="370454.210864903"/>
    <m/>
    <m/>
    <n v="33792.021477015798"/>
    <m/>
    <m/>
    <n v="39403.7891350965"/>
    <m/>
    <m/>
    <m/>
    <m/>
    <n v="27179.00000000004"/>
    <n v="27513.99999999996"/>
    <n v="23943.4047619048"/>
    <n v="24194.060331825"/>
    <m/>
    <m/>
    <n v="3235.5952380952399"/>
    <m/>
    <m/>
    <n v="3319.9396681749599"/>
    <m/>
    <m/>
    <m/>
    <m/>
  </r>
  <r>
    <x v="6"/>
    <s v="University of New Orleans"/>
    <m/>
    <n v="159939"/>
    <x v="1"/>
    <n v="163313.99999999971"/>
    <n v="162725.00000000009"/>
    <n v="145521.03501945501"/>
    <n v="137330.03787878799"/>
    <m/>
    <m/>
    <n v="17792.964980544701"/>
    <m/>
    <m/>
    <n v="25394.962121212098"/>
    <m/>
    <m/>
    <m/>
    <m/>
    <n v="24158.999999999989"/>
    <n v="22356.999999999989"/>
    <n v="21068.895348837199"/>
    <n v="18514.701691896698"/>
    <m/>
    <m/>
    <n v="3090.1046511627901"/>
    <m/>
    <m/>
    <n v="3842.2983081032899"/>
    <m/>
    <m/>
    <m/>
    <m/>
  </r>
  <r>
    <x v="6"/>
    <s v="Southeastern Louisiana University "/>
    <m/>
    <n v="160612"/>
    <x v="2"/>
    <n v="315803.99999999988"/>
    <n v="320141.00000000023"/>
    <n v="267954.909090909"/>
    <n v="261977.517091596"/>
    <m/>
    <m/>
    <n v="47849.090909090897"/>
    <m/>
    <m/>
    <n v="58163.482908404199"/>
    <m/>
    <m/>
    <m/>
    <m/>
    <n v="16044.999999999989"/>
    <n v="16179.000000000011"/>
    <n v="11178.7052932761"/>
    <n v="10754.388042204"/>
    <m/>
    <m/>
    <n v="4866.2947067238902"/>
    <m/>
    <m/>
    <n v="5424.6119577960098"/>
    <m/>
    <m/>
    <m/>
    <m/>
  </r>
  <r>
    <x v="6"/>
    <s v="Southern University and A&amp;M College at Baton Rouge "/>
    <m/>
    <n v="160621"/>
    <x v="2"/>
    <n v="145458.00000000003"/>
    <n v="147575.99999999991"/>
    <n v="138545.99243061399"/>
    <n v="136587.466865227"/>
    <m/>
    <m/>
    <n v="6912.0075693860399"/>
    <m/>
    <m/>
    <n v="10988.533134772901"/>
    <m/>
    <m/>
    <m/>
    <m/>
    <n v="33815.000000000022"/>
    <n v="18602.00000000004"/>
    <n v="31825.8823529412"/>
    <n v="16516.466494845401"/>
    <m/>
    <m/>
    <n v="1989.11764705882"/>
    <m/>
    <m/>
    <n v="2085.5335051546399"/>
    <m/>
    <m/>
    <m/>
    <m/>
  </r>
  <r>
    <x v="6"/>
    <s v="University of Louisiana at Monroe"/>
    <m/>
    <n v="159993"/>
    <x v="2"/>
    <n v="193312.99999999988"/>
    <n v="193176.00000000029"/>
    <n v="166875.728063241"/>
    <n v="140479.029432879"/>
    <m/>
    <m/>
    <n v="26437.271936758902"/>
    <m/>
    <m/>
    <n v="52696.970567121301"/>
    <m/>
    <m/>
    <m/>
    <m/>
    <n v="33259"/>
    <n v="32060"/>
    <n v="17800.591549295801"/>
    <n v="15070.4577464789"/>
    <m/>
    <m/>
    <n v="15458.408450704201"/>
    <m/>
    <m/>
    <n v="16989.5422535211"/>
    <m/>
    <m/>
    <m/>
    <m/>
  </r>
  <r>
    <x v="6"/>
    <s v="Grambling State University"/>
    <m/>
    <n v="159009"/>
    <x v="3"/>
    <n v="113092.0000000002"/>
    <n v="117072.0000000002"/>
    <n v="100670.169811321"/>
    <n v="102047.08013937301"/>
    <m/>
    <m/>
    <n v="12421.8301886792"/>
    <m/>
    <m/>
    <n v="15024.9198606272"/>
    <m/>
    <m/>
    <m/>
    <m/>
    <n v="17626"/>
    <n v="19303.000000000051"/>
    <n v="9638.1872659176006"/>
    <n v="11789.8562874252"/>
    <m/>
    <m/>
    <n v="7987.8127340824003"/>
    <m/>
    <m/>
    <n v="7513.1437125748498"/>
    <m/>
    <m/>
    <m/>
    <m/>
  </r>
  <r>
    <x v="6"/>
    <s v="Louisiana State University in Shreveport"/>
    <m/>
    <n v="159416"/>
    <x v="3"/>
    <n v="58792"/>
    <n v="58511"/>
    <n v="47502.627087198503"/>
    <n v="44531.770935960601"/>
    <m/>
    <m/>
    <n v="11289.3729128015"/>
    <m/>
    <m/>
    <n v="13979.2290640394"/>
    <m/>
    <m/>
    <m/>
    <m/>
    <n v="34492"/>
    <n v="47341"/>
    <n v="16560.0795454545"/>
    <n v="20514.433333333302"/>
    <m/>
    <m/>
    <n v="17931.9204545455"/>
    <m/>
    <m/>
    <n v="26826.566666666698"/>
    <m/>
    <m/>
    <m/>
    <m/>
  </r>
  <r>
    <x v="6"/>
    <s v="McNeese State University"/>
    <s v="Reclassified: Met the criteria for Four-Year 3 in 2015-16, 2016-17, and 2017-18."/>
    <n v="159717"/>
    <x v="2"/>
    <n v="182177.99999999959"/>
    <n v="183652"/>
    <n v="146988.288104765"/>
    <n v="139644.35876840699"/>
    <m/>
    <m/>
    <n v="35189.711895234599"/>
    <m/>
    <m/>
    <n v="44007.641231592999"/>
    <m/>
    <m/>
    <m/>
    <m/>
    <n v="11486"/>
    <n v="11668"/>
    <n v="6498.2828784119101"/>
    <n v="5727.0631364562096"/>
    <m/>
    <m/>
    <n v="4987.7171215880899"/>
    <m/>
    <m/>
    <n v="5940.9368635437904"/>
    <m/>
    <m/>
    <m/>
    <m/>
  </r>
  <r>
    <x v="6"/>
    <s v="Nicholls State University "/>
    <m/>
    <n v="159966"/>
    <x v="3"/>
    <n v="149644"/>
    <n v="150856.99999999988"/>
    <n v="106916.7"/>
    <n v="102052.06556733399"/>
    <m/>
    <m/>
    <n v="42727.3"/>
    <m/>
    <m/>
    <n v="48804.934432665897"/>
    <m/>
    <m/>
    <m/>
    <m/>
    <n v="10735"/>
    <n v="10532"/>
    <n v="5428.2641509433997"/>
    <n v="4855.8753894081001"/>
    <m/>
    <m/>
    <n v="5306.7358490566003"/>
    <m/>
    <m/>
    <n v="5676.1246105918999"/>
    <m/>
    <m/>
    <m/>
    <m/>
  </r>
  <r>
    <x v="6"/>
    <s v="Northwestern State University"/>
    <m/>
    <n v="160038"/>
    <x v="3"/>
    <n v="216645.99999999988"/>
    <n v="226744"/>
    <n v="156173.154567372"/>
    <n v="145873.044649185"/>
    <m/>
    <m/>
    <n v="60472.845432627902"/>
    <m/>
    <m/>
    <n v="80870.955350814998"/>
    <m/>
    <m/>
    <m/>
    <m/>
    <n v="17411.000000000007"/>
    <n v="15622"/>
    <n v="5327.9562841530096"/>
    <n v="3852"/>
    <m/>
    <m/>
    <n v="12083.043715846999"/>
    <m/>
    <m/>
    <n v="11770"/>
    <m/>
    <m/>
    <m/>
    <m/>
  </r>
  <r>
    <x v="6"/>
    <s v="Southern University at New Orleans"/>
    <m/>
    <n v="160630"/>
    <x v="4"/>
    <n v="47287.999999999971"/>
    <n v="49569.999999999964"/>
    <n v="41457.972602739697"/>
    <n v="43476.517073170697"/>
    <m/>
    <m/>
    <n v="5830.0273972602699"/>
    <m/>
    <m/>
    <n v="6093.4829268292697"/>
    <m/>
    <m/>
    <m/>
    <m/>
    <n v="9974"/>
    <n v="9558"/>
    <n v="8216.9222797927505"/>
    <n v="8230.5"/>
    <m/>
    <m/>
    <n v="1757.07772020725"/>
    <m/>
    <m/>
    <n v="1327.5"/>
    <m/>
    <m/>
    <m/>
    <m/>
  </r>
  <r>
    <x v="6"/>
    <s v="Louisiana State University at Alexandria"/>
    <m/>
    <n v="159382"/>
    <x v="5"/>
    <n v="69103"/>
    <n v="72677"/>
    <n v="51491.021316033402"/>
    <n v="46862.1296"/>
    <m/>
    <m/>
    <n v="17611.978683966601"/>
    <m/>
    <m/>
    <n v="25814.8704"/>
    <m/>
    <m/>
    <m/>
    <m/>
    <n v="0"/>
    <n v="0"/>
    <m/>
    <m/>
    <m/>
    <m/>
    <m/>
    <m/>
    <m/>
    <m/>
    <m/>
    <m/>
    <m/>
    <m/>
  </r>
  <r>
    <x v="6"/>
    <s v="Baton Rouge Community College"/>
    <m/>
    <n v="437103"/>
    <x v="6"/>
    <n v="165845.00000000049"/>
    <n v="161547.99999999959"/>
    <n v="152579.480865747"/>
    <n v="140612.93079096"/>
    <m/>
    <m/>
    <n v="13265.5191342535"/>
    <m/>
    <m/>
    <n v="20935.069209039601"/>
    <m/>
    <m/>
    <m/>
    <m/>
    <n v="0"/>
    <n v="0"/>
    <m/>
    <m/>
    <m/>
    <m/>
    <m/>
    <m/>
    <m/>
    <m/>
    <m/>
    <m/>
    <m/>
    <m/>
  </r>
  <r>
    <x v="6"/>
    <s v="Bossier Parish Community College"/>
    <s v="Met the criteria for Two-Year 2 in 2017-18."/>
    <n v="158431"/>
    <x v="6"/>
    <n v="134689"/>
    <n v="136287"/>
    <n v="97227.361146769399"/>
    <n v="92358.877518130495"/>
    <m/>
    <m/>
    <n v="37461.638853230601"/>
    <m/>
    <m/>
    <n v="43928.122481869497"/>
    <m/>
    <m/>
    <m/>
    <m/>
    <n v="0"/>
    <n v="0"/>
    <m/>
    <m/>
    <m/>
    <m/>
    <m/>
    <m/>
    <m/>
    <m/>
    <m/>
    <m/>
    <m/>
    <m/>
  </r>
  <r>
    <x v="6"/>
    <s v="Delgado Community College "/>
    <m/>
    <n v="158662"/>
    <x v="6"/>
    <n v="288321.00000000012"/>
    <n v="278208.00000000041"/>
    <n v="247314.43994339299"/>
    <n v="228557.99798725301"/>
    <m/>
    <m/>
    <n v="41006.560056607101"/>
    <m/>
    <m/>
    <n v="49650.002012747398"/>
    <m/>
    <m/>
    <m/>
    <m/>
    <n v="0"/>
    <n v="0"/>
    <m/>
    <m/>
    <m/>
    <m/>
    <m/>
    <m/>
    <m/>
    <m/>
    <m/>
    <m/>
    <m/>
    <m/>
  </r>
  <r>
    <x v="6"/>
    <s v="Louisiana Delta Community College"/>
    <m/>
    <n v="440624"/>
    <x v="7"/>
    <n v="69170"/>
    <n v="73594"/>
    <n v="57697.902439024401"/>
    <n v="55535.679097461601"/>
    <m/>
    <m/>
    <n v="11472.097560975601"/>
    <m/>
    <m/>
    <n v="18058.320902538399"/>
    <m/>
    <m/>
    <m/>
    <m/>
    <n v="0"/>
    <n v="0"/>
    <m/>
    <m/>
    <m/>
    <m/>
    <m/>
    <m/>
    <m/>
    <m/>
    <m/>
    <m/>
    <m/>
    <m/>
  </r>
  <r>
    <x v="6"/>
    <s v="South Louisiana Community College"/>
    <m/>
    <n v="434061"/>
    <x v="7"/>
    <n v="134865.0000000002"/>
    <n v="136495.50000000029"/>
    <n v="121743.55847803901"/>
    <n v="121005.602674953"/>
    <m/>
    <m/>
    <n v="13121.4415219612"/>
    <m/>
    <m/>
    <n v="15489.897325047299"/>
    <m/>
    <m/>
    <m/>
    <m/>
    <n v="0"/>
    <n v="0"/>
    <m/>
    <m/>
    <m/>
    <m/>
    <m/>
    <m/>
    <m/>
    <m/>
    <m/>
    <m/>
    <m/>
    <m/>
  </r>
  <r>
    <x v="6"/>
    <s v="Southern University in Shreveport"/>
    <m/>
    <n v="160649"/>
    <x v="7"/>
    <n v="66229.999999999971"/>
    <n v="66609"/>
    <n v="59843.307618129198"/>
    <n v="56097.802744425397"/>
    <m/>
    <m/>
    <n v="6386.6923818707801"/>
    <m/>
    <m/>
    <n v="10511.1972555746"/>
    <m/>
    <m/>
    <m/>
    <m/>
    <n v="0"/>
    <n v="0"/>
    <m/>
    <m/>
    <m/>
    <m/>
    <m/>
    <m/>
    <m/>
    <m/>
    <m/>
    <m/>
    <m/>
    <m/>
  </r>
  <r>
    <x v="6"/>
    <s v="Louisiana State University at Eunice"/>
    <m/>
    <n v="159407"/>
    <x v="8"/>
    <n v="58029"/>
    <n v="59060"/>
    <n v="42147.378947368401"/>
    <n v="40297.047898338198"/>
    <m/>
    <m/>
    <n v="15881.621052631601"/>
    <m/>
    <m/>
    <n v="18762.952101661798"/>
    <m/>
    <m/>
    <m/>
    <m/>
    <n v="0"/>
    <n v="0"/>
    <m/>
    <m/>
    <m/>
    <m/>
    <m/>
    <m/>
    <m/>
    <m/>
    <m/>
    <m/>
    <m/>
    <m/>
  </r>
  <r>
    <x v="6"/>
    <s v="Nunez Community College"/>
    <m/>
    <n v="158884"/>
    <x v="8"/>
    <n v="41122"/>
    <n v="47593"/>
    <n v="29616.828415300501"/>
    <n v="30979.907571288099"/>
    <m/>
    <m/>
    <n v="11505.171584699499"/>
    <m/>
    <m/>
    <n v="16613.092428711901"/>
    <m/>
    <m/>
    <m/>
    <m/>
    <n v="0"/>
    <n v="0"/>
    <m/>
    <m/>
    <m/>
    <m/>
    <m/>
    <m/>
    <m/>
    <m/>
    <m/>
    <m/>
    <m/>
    <m/>
  </r>
  <r>
    <x v="6"/>
    <s v="River Parishes Community College"/>
    <m/>
    <n v="436304"/>
    <x v="8"/>
    <n v="36616.500000000022"/>
    <n v="41113"/>
    <n v="31171.2541729894"/>
    <n v="33924.689308176101"/>
    <m/>
    <m/>
    <n v="5445.2458270106199"/>
    <m/>
    <m/>
    <n v="7188.3106918239"/>
    <m/>
    <m/>
    <m/>
    <m/>
    <n v="0"/>
    <n v="0"/>
    <m/>
    <m/>
    <m/>
    <m/>
    <m/>
    <m/>
    <m/>
    <m/>
    <m/>
    <m/>
    <m/>
    <m/>
  </r>
  <r>
    <x v="6"/>
    <s v="Central LA Technical College"/>
    <m/>
    <n v="158088"/>
    <x v="9"/>
    <n v="36649.000000000029"/>
    <n v="46503.999999999949"/>
    <n v="33082.187347931897"/>
    <n v="39899.346303501901"/>
    <m/>
    <m/>
    <n v="3566.8126520681299"/>
    <m/>
    <m/>
    <n v="6604.6536964980496"/>
    <m/>
    <m/>
    <m/>
    <m/>
    <n v="0"/>
    <n v="0"/>
    <m/>
    <m/>
    <m/>
    <m/>
    <m/>
    <m/>
    <m/>
    <m/>
    <m/>
    <m/>
    <m/>
    <m/>
  </r>
  <r>
    <x v="6"/>
    <s v="L.E. Fletcher Technical Community College"/>
    <m/>
    <n v="160481"/>
    <x v="9"/>
    <n v="50565.999999999971"/>
    <n v="40980.000000000044"/>
    <n v="45023.667487684703"/>
    <n v="31148.8127294982"/>
    <m/>
    <m/>
    <n v="5542.3325123152699"/>
    <m/>
    <m/>
    <n v="9831.1872705018395"/>
    <m/>
    <m/>
    <m/>
    <m/>
    <n v="0"/>
    <n v="0"/>
    <m/>
    <m/>
    <m/>
    <m/>
    <m/>
    <m/>
    <m/>
    <m/>
    <m/>
    <m/>
    <m/>
    <m/>
  </r>
  <r>
    <x v="6"/>
    <s v="Northshore Technical College"/>
    <m/>
    <n v="160667"/>
    <x v="9"/>
    <n v="58160.000000000044"/>
    <n v="65592"/>
    <n v="52118.347934918696"/>
    <n v="55573.892063492101"/>
    <m/>
    <m/>
    <n v="6041.65206508135"/>
    <m/>
    <m/>
    <n v="10018.1079365079"/>
    <m/>
    <m/>
    <m/>
    <m/>
    <n v="0"/>
    <n v="0"/>
    <m/>
    <m/>
    <m/>
    <m/>
    <m/>
    <m/>
    <m/>
    <m/>
    <m/>
    <m/>
    <m/>
    <m/>
  </r>
  <r>
    <x v="6"/>
    <s v="Northwest LA Technical College"/>
    <s v="Met the criteria for Technical Institute or College 2 in 2017-18. "/>
    <n v="160010"/>
    <x v="9"/>
    <n v="36094"/>
    <n v="27171"/>
    <n v="36094"/>
    <n v="27171"/>
    <m/>
    <m/>
    <n v="0"/>
    <m/>
    <m/>
    <n v="0"/>
    <m/>
    <m/>
    <m/>
    <m/>
    <n v="0"/>
    <n v="0"/>
    <m/>
    <m/>
    <m/>
    <m/>
    <m/>
    <m/>
    <m/>
    <m/>
    <m/>
    <m/>
    <m/>
    <m/>
  </r>
  <r>
    <x v="6"/>
    <s v="South Central LA Technical College"/>
    <m/>
    <n v="160913"/>
    <x v="9"/>
    <n v="49776.000000000022"/>
    <n v="33300.999999999956"/>
    <n v="44841.453093812401"/>
    <n v="28050.746980292399"/>
    <m/>
    <m/>
    <n v="4934.5469061876202"/>
    <m/>
    <m/>
    <n v="5250.2530197075603"/>
    <m/>
    <m/>
    <m/>
    <m/>
    <n v="0"/>
    <n v="0"/>
    <m/>
    <m/>
    <m/>
    <m/>
    <m/>
    <m/>
    <m/>
    <m/>
    <m/>
    <m/>
    <m/>
    <m/>
  </r>
  <r>
    <x v="6"/>
    <s v="Sowela Technical Community College"/>
    <m/>
    <n v="160579"/>
    <x v="9"/>
    <n v="67383.000000000044"/>
    <n v="66345.5"/>
    <n v="57502.948021722303"/>
    <n v="56204.731434751302"/>
    <m/>
    <m/>
    <n v="9880.0519782777392"/>
    <m/>
    <m/>
    <n v="10140.7685652487"/>
    <m/>
    <m/>
    <m/>
    <m/>
    <n v="0"/>
    <n v="0"/>
    <m/>
    <m/>
    <m/>
    <m/>
    <m/>
    <m/>
    <m/>
    <m/>
    <m/>
    <m/>
    <m/>
    <m/>
  </r>
  <r>
    <x v="6"/>
    <s v="Louisiana State University Health Sciences Center - New Orleans"/>
    <m/>
    <n v="159373"/>
    <x v="11"/>
    <n v="0"/>
    <n v="0"/>
    <m/>
    <m/>
    <m/>
    <m/>
    <m/>
    <m/>
    <m/>
    <m/>
    <m/>
    <m/>
    <m/>
    <m/>
    <n v="0"/>
    <n v="0"/>
    <m/>
    <m/>
    <m/>
    <m/>
    <m/>
    <m/>
    <m/>
    <m/>
    <m/>
    <m/>
    <m/>
    <m/>
  </r>
  <r>
    <x v="6"/>
    <s v="Louisiana State University Health Sciences Center - Shreveport"/>
    <m/>
    <n v="435000"/>
    <x v="11"/>
    <n v="0"/>
    <n v="0"/>
    <m/>
    <m/>
    <m/>
    <m/>
    <m/>
    <m/>
    <m/>
    <m/>
    <m/>
    <m/>
    <m/>
    <m/>
    <n v="0"/>
    <n v="0"/>
    <m/>
    <m/>
    <m/>
    <m/>
    <m/>
    <m/>
    <m/>
    <m/>
    <m/>
    <m/>
    <m/>
    <m/>
  </r>
  <r>
    <x v="7"/>
    <s v="University of Maryland College Park"/>
    <m/>
    <n v="163286"/>
    <x v="0"/>
    <n v="830277"/>
    <n v="853125"/>
    <n v="777707"/>
    <n v="800608"/>
    <n v="19984"/>
    <n v="16569"/>
    <n v="31895"/>
    <n v="691"/>
    <n v="0"/>
    <n v="35162"/>
    <n v="786"/>
    <m/>
    <n v="0"/>
    <m/>
    <n v="157557"/>
    <n v="158715.5"/>
    <n v="120972"/>
    <n v="123099.5"/>
    <n v="24700"/>
    <n v="19764"/>
    <n v="11294"/>
    <n v="591"/>
    <n v="0"/>
    <n v="15188"/>
    <n v="664"/>
    <m/>
    <n v="0"/>
    <m/>
  </r>
  <r>
    <x v="7"/>
    <s v="Morgan State University"/>
    <m/>
    <n v="163453"/>
    <x v="1"/>
    <n v="184300"/>
    <n v="184154"/>
    <n v="171998"/>
    <n v="170277"/>
    <n v="54"/>
    <n v="66"/>
    <n v="12248"/>
    <n v="0"/>
    <n v="0"/>
    <n v="13811"/>
    <n v="0"/>
    <m/>
    <n v="0"/>
    <m/>
    <n v="24369"/>
    <n v="24551"/>
    <n v="19577"/>
    <n v="19255"/>
    <n v="48"/>
    <n v="42"/>
    <n v="4744"/>
    <n v="0"/>
    <n v="0"/>
    <n v="5254"/>
    <n v="0"/>
    <m/>
    <n v="0"/>
    <m/>
  </r>
  <r>
    <x v="7"/>
    <s v="University of Maryland, Baltimore County"/>
    <m/>
    <n v="163268"/>
    <x v="1"/>
    <n v="317866"/>
    <n v="317175"/>
    <n v="268240"/>
    <n v="266808"/>
    <n v="7312"/>
    <n v="7763"/>
    <n v="42314"/>
    <n v="0"/>
    <n v="0"/>
    <n v="42604"/>
    <n v="0"/>
    <m/>
    <n v="0"/>
    <m/>
    <n v="34462"/>
    <n v="33052"/>
    <n v="23451"/>
    <n v="22159"/>
    <n v="3401"/>
    <n v="3367"/>
    <n v="7610"/>
    <n v="0"/>
    <n v="0"/>
    <n v="7526"/>
    <n v="0"/>
    <m/>
    <n v="0"/>
    <m/>
  </r>
  <r>
    <x v="7"/>
    <s v="Towson University "/>
    <m/>
    <n v="164076"/>
    <x v="2"/>
    <n v="541918"/>
    <n v="544909"/>
    <n v="471126"/>
    <n v="469945"/>
    <n v="12791"/>
    <n v="11415"/>
    <n v="58001"/>
    <n v="0"/>
    <n v="0"/>
    <n v="63450"/>
    <n v="99"/>
    <m/>
    <n v="0"/>
    <m/>
    <n v="45421"/>
    <n v="44409"/>
    <n v="28474"/>
    <n v="27070"/>
    <n v="6050"/>
    <n v="5957"/>
    <n v="10876"/>
    <n v="21"/>
    <n v="0"/>
    <n v="11370"/>
    <n v="12"/>
    <m/>
    <n v="0"/>
    <m/>
  </r>
  <r>
    <x v="7"/>
    <s v="Bowie State University "/>
    <m/>
    <n v="162007"/>
    <x v="3"/>
    <n v="125437"/>
    <n v="136075"/>
    <n v="103591"/>
    <n v="112186"/>
    <n v="231"/>
    <n v="0"/>
    <n v="21615"/>
    <n v="0"/>
    <n v="0"/>
    <n v="23889"/>
    <n v="0"/>
    <m/>
    <n v="0"/>
    <m/>
    <n v="14769"/>
    <n v="15976"/>
    <n v="12730"/>
    <n v="12190"/>
    <n v="511"/>
    <n v="2222"/>
    <n v="1528"/>
    <n v="0"/>
    <n v="0"/>
    <n v="1564"/>
    <n v="0"/>
    <m/>
    <n v="0"/>
    <m/>
  </r>
  <r>
    <x v="7"/>
    <s v="Frostburg State University "/>
    <m/>
    <n v="162584"/>
    <x v="3"/>
    <n v="135376"/>
    <n v="131583"/>
    <n v="107454"/>
    <n v="104619"/>
    <n v="3506"/>
    <n v="2818"/>
    <n v="24416"/>
    <n v="0"/>
    <n v="0"/>
    <n v="24146"/>
    <n v="0"/>
    <m/>
    <n v="0"/>
    <m/>
    <n v="12584"/>
    <n v="10471"/>
    <n v="3477"/>
    <n v="3557"/>
    <n v="487"/>
    <n v="818"/>
    <n v="8620"/>
    <n v="0"/>
    <n v="0"/>
    <n v="6096"/>
    <n v="0"/>
    <m/>
    <n v="0"/>
    <m/>
  </r>
  <r>
    <x v="7"/>
    <s v="Salisbury University "/>
    <m/>
    <n v="163851"/>
    <x v="3"/>
    <n v="232536"/>
    <n v="234127"/>
    <n v="203203"/>
    <n v="205095"/>
    <n v="3025"/>
    <n v="2726"/>
    <n v="18815"/>
    <n v="7493"/>
    <n v="0"/>
    <n v="20592"/>
    <n v="5714"/>
    <m/>
    <n v="0"/>
    <m/>
    <n v="14499"/>
    <n v="15560"/>
    <n v="3395"/>
    <n v="3110"/>
    <n v="97"/>
    <n v="30"/>
    <n v="7697"/>
    <n v="3310"/>
    <n v="0"/>
    <n v="9121"/>
    <n v="3299"/>
    <m/>
    <n v="0"/>
    <m/>
  </r>
  <r>
    <x v="7"/>
    <s v="University of Baltimore"/>
    <m/>
    <n v="161873"/>
    <x v="2"/>
    <n v="73582"/>
    <n v="67059"/>
    <n v="53986"/>
    <n v="47583"/>
    <n v="1355"/>
    <n v="1314"/>
    <n v="18241"/>
    <n v="0"/>
    <n v="0"/>
    <n v="18162"/>
    <n v="0"/>
    <m/>
    <n v="0"/>
    <m/>
    <n v="46975"/>
    <n v="44150"/>
    <n v="35847"/>
    <n v="33078"/>
    <n v="2186"/>
    <n v="1821"/>
    <n v="8942"/>
    <n v="0"/>
    <n v="0"/>
    <n v="9251"/>
    <n v="0"/>
    <m/>
    <n v="0"/>
    <m/>
  </r>
  <r>
    <x v="7"/>
    <s v="University of Maryland Eastern Shore "/>
    <m/>
    <n v="163338"/>
    <x v="3"/>
    <n v="97253"/>
    <n v="84678"/>
    <n v="80274"/>
    <n v="69123"/>
    <n v="3173"/>
    <n v="2046"/>
    <n v="13806"/>
    <n v="0"/>
    <n v="0"/>
    <n v="13509"/>
    <n v="0"/>
    <m/>
    <n v="0"/>
    <m/>
    <n v="18016"/>
    <n v="18323"/>
    <n v="17476"/>
    <n v="17460"/>
    <n v="222"/>
    <n v="209"/>
    <n v="318"/>
    <n v="0"/>
    <n v="0"/>
    <n v="654"/>
    <n v="0"/>
    <m/>
    <n v="0"/>
    <m/>
  </r>
  <r>
    <x v="7"/>
    <s v="Coppin State University"/>
    <m/>
    <n v="162283"/>
    <x v="4"/>
    <n v="66610"/>
    <n v="63125"/>
    <n v="50909"/>
    <n v="48548"/>
    <n v="1785"/>
    <n v="1564"/>
    <n v="13916"/>
    <n v="0"/>
    <n v="0"/>
    <n v="13013"/>
    <n v="0"/>
    <m/>
    <n v="0"/>
    <m/>
    <n v="5570"/>
    <n v="5008"/>
    <n v="4055"/>
    <n v="3823"/>
    <n v="717"/>
    <n v="544"/>
    <n v="798"/>
    <n v="0"/>
    <n v="0"/>
    <n v="641"/>
    <n v="0"/>
    <m/>
    <n v="0"/>
    <m/>
  </r>
  <r>
    <x v="7"/>
    <s v="Saint Mary's College of Maryland"/>
    <s v="Met the criteria for Four-Year 5 in 2017-18."/>
    <n v="163912"/>
    <x v="5"/>
    <n v="51243"/>
    <n v="48855"/>
    <n v="51243"/>
    <n v="48855"/>
    <n v="0"/>
    <n v="0"/>
    <n v="0"/>
    <n v="0"/>
    <n v="0"/>
    <n v="0"/>
    <n v="0"/>
    <m/>
    <n v="0"/>
    <m/>
    <n v="1356"/>
    <n v="1409"/>
    <n v="1356"/>
    <n v="1409"/>
    <n v="0"/>
    <n v="0"/>
    <n v="0"/>
    <n v="0"/>
    <n v="0"/>
    <n v="0"/>
    <n v="0"/>
    <m/>
    <n v="0"/>
    <m/>
  </r>
  <r>
    <x v="7"/>
    <s v="Anne Arundel Community College "/>
    <m/>
    <n v="161767"/>
    <x v="6"/>
    <n v="250158"/>
    <n v="242050"/>
    <n v="172500"/>
    <n v="163685"/>
    <n v="4483"/>
    <n v="4198"/>
    <n v="72877"/>
    <n v="298"/>
    <n v="0"/>
    <n v="73941"/>
    <n v="226"/>
    <m/>
    <n v="0"/>
    <m/>
    <n v="0"/>
    <n v="0"/>
    <m/>
    <n v="0"/>
    <m/>
    <n v="0"/>
    <m/>
    <n v="0"/>
    <n v="0"/>
    <n v="0"/>
    <n v="0"/>
    <m/>
    <n v="0"/>
    <m/>
  </r>
  <r>
    <x v="7"/>
    <s v="College of Southern Maryland"/>
    <s v="Met the criteria for Two-Year 2 in 2017-18."/>
    <n v="162122"/>
    <x v="6"/>
    <n v="150284"/>
    <n v="140742"/>
    <n v="91477"/>
    <n v="84581"/>
    <n v="5192"/>
    <n v="5024"/>
    <n v="53321"/>
    <n v="294"/>
    <n v="0"/>
    <n v="50956"/>
    <n v="181"/>
    <m/>
    <n v="0"/>
    <m/>
    <n v="0"/>
    <n v="0"/>
    <m/>
    <n v="0"/>
    <m/>
    <n v="0"/>
    <m/>
    <n v="0"/>
    <n v="0"/>
    <n v="0"/>
    <n v="0"/>
    <m/>
    <n v="0"/>
    <m/>
  </r>
  <r>
    <x v="7"/>
    <s v="Community College of Baltimore County (all campuses)"/>
    <m/>
    <n v="434672"/>
    <x v="6"/>
    <n v="379712"/>
    <n v="354049"/>
    <n v="272603"/>
    <n v="248207"/>
    <n v="43599"/>
    <n v="40744"/>
    <n v="63510"/>
    <n v="0"/>
    <n v="0"/>
    <n v="65098"/>
    <n v="0"/>
    <m/>
    <n v="0"/>
    <m/>
    <n v="0"/>
    <n v="0"/>
    <m/>
    <n v="0"/>
    <m/>
    <n v="0"/>
    <m/>
    <n v="0"/>
    <n v="0"/>
    <n v="0"/>
    <n v="0"/>
    <m/>
    <n v="0"/>
    <m/>
  </r>
  <r>
    <x v="7"/>
    <s v="Howard Community College "/>
    <m/>
    <n v="162779"/>
    <x v="6"/>
    <n v="189160"/>
    <n v="188465"/>
    <n v="151586"/>
    <n v="147717"/>
    <n v="6889"/>
    <n v="8030"/>
    <n v="30685"/>
    <n v="0"/>
    <n v="0"/>
    <n v="32718"/>
    <n v="0"/>
    <m/>
    <n v="0"/>
    <m/>
    <n v="0"/>
    <n v="0"/>
    <m/>
    <n v="0"/>
    <m/>
    <n v="0"/>
    <m/>
    <n v="0"/>
    <n v="0"/>
    <n v="0"/>
    <n v="0"/>
    <m/>
    <n v="0"/>
    <m/>
  </r>
  <r>
    <x v="7"/>
    <s v="Montgomery College (all campuses)"/>
    <m/>
    <n v="163426"/>
    <x v="6"/>
    <n v="691916"/>
    <n v="665685"/>
    <n v="533371"/>
    <n v="504569"/>
    <n v="88948"/>
    <n v="88727"/>
    <n v="69597"/>
    <n v="0"/>
    <n v="0"/>
    <n v="72389"/>
    <n v="0"/>
    <m/>
    <n v="0"/>
    <m/>
    <n v="0"/>
    <n v="0"/>
    <m/>
    <n v="0"/>
    <m/>
    <n v="0"/>
    <m/>
    <n v="0"/>
    <n v="0"/>
    <n v="0"/>
    <n v="0"/>
    <m/>
    <n v="0"/>
    <m/>
  </r>
  <r>
    <x v="7"/>
    <s v="Prince George's Community College "/>
    <m/>
    <n v="163657"/>
    <x v="6"/>
    <n v="284405"/>
    <n v="409193"/>
    <n v="110473"/>
    <n v="183911"/>
    <n v="141724"/>
    <n v="182900"/>
    <n v="32208"/>
    <n v="0"/>
    <n v="0"/>
    <n v="42382"/>
    <n v="0"/>
    <m/>
    <n v="0"/>
    <m/>
    <n v="0"/>
    <n v="0"/>
    <m/>
    <n v="0"/>
    <m/>
    <n v="0"/>
    <m/>
    <n v="0"/>
    <n v="0"/>
    <n v="0"/>
    <n v="0"/>
    <m/>
    <n v="0"/>
    <m/>
  </r>
  <r>
    <x v="7"/>
    <s v="Allegany College of Maryland"/>
    <s v="Met the criteria for Two-Year 3 in 2016-17 and 2017-18."/>
    <n v="161688"/>
    <x v="7"/>
    <n v="58826"/>
    <n v="53541"/>
    <n v="36359"/>
    <n v="33558"/>
    <n v="9454"/>
    <n v="8669"/>
    <n v="10376"/>
    <n v="2637"/>
    <n v="0"/>
    <n v="9291"/>
    <n v="2023"/>
    <m/>
    <n v="0"/>
    <m/>
    <n v="0"/>
    <n v="0"/>
    <m/>
    <n v="0"/>
    <m/>
    <n v="0"/>
    <m/>
    <n v="0"/>
    <n v="0"/>
    <n v="0"/>
    <n v="0"/>
    <m/>
    <n v="0"/>
    <m/>
  </r>
  <r>
    <x v="7"/>
    <s v="Baltimore City Community College"/>
    <m/>
    <n v="161864"/>
    <x v="7"/>
    <n v="80456"/>
    <n v="77791"/>
    <n v="55683"/>
    <n v="54789"/>
    <n v="7543"/>
    <n v="3198"/>
    <n v="17230"/>
    <n v="0"/>
    <n v="0"/>
    <n v="19804"/>
    <n v="0"/>
    <m/>
    <n v="0"/>
    <m/>
    <n v="0"/>
    <n v="0"/>
    <m/>
    <n v="0"/>
    <m/>
    <n v="0"/>
    <m/>
    <n v="0"/>
    <n v="0"/>
    <n v="0"/>
    <n v="0"/>
    <m/>
    <n v="0"/>
    <m/>
  </r>
  <r>
    <x v="7"/>
    <s v="Carroll Community College"/>
    <m/>
    <n v="405872"/>
    <x v="7"/>
    <n v="65758"/>
    <n v="60502"/>
    <n v="50625"/>
    <n v="45513"/>
    <n v="317"/>
    <n v="686"/>
    <n v="14738"/>
    <n v="78"/>
    <n v="0"/>
    <n v="14267"/>
    <n v="36"/>
    <m/>
    <n v="0"/>
    <m/>
    <n v="0"/>
    <n v="0"/>
    <m/>
    <n v="0"/>
    <m/>
    <n v="0"/>
    <m/>
    <n v="0"/>
    <n v="0"/>
    <n v="0"/>
    <n v="0"/>
    <m/>
    <n v="0"/>
    <m/>
  </r>
  <r>
    <x v="7"/>
    <s v="Frederick Community College "/>
    <m/>
    <n v="162557"/>
    <x v="7"/>
    <n v="112300"/>
    <n v="113685"/>
    <n v="80899"/>
    <n v="81900"/>
    <n v="8219"/>
    <n v="7341"/>
    <n v="23182"/>
    <n v="0"/>
    <n v="0"/>
    <n v="24444"/>
    <n v="0"/>
    <m/>
    <n v="0"/>
    <m/>
    <n v="0"/>
    <n v="0"/>
    <m/>
    <n v="0"/>
    <m/>
    <n v="0"/>
    <m/>
    <n v="0"/>
    <n v="0"/>
    <n v="0"/>
    <n v="0"/>
    <m/>
    <n v="0"/>
    <m/>
  </r>
  <r>
    <x v="7"/>
    <s v="Hagerstown Community College "/>
    <m/>
    <n v="162690"/>
    <x v="7"/>
    <n v="80049"/>
    <n v="78222"/>
    <n v="52238"/>
    <n v="49296"/>
    <n v="4931"/>
    <n v="5092"/>
    <n v="22831"/>
    <n v="0"/>
    <n v="0"/>
    <n v="23773"/>
    <n v="0"/>
    <m/>
    <n v="49"/>
    <n v="61"/>
    <n v="0"/>
    <n v="0"/>
    <m/>
    <n v="0"/>
    <m/>
    <n v="0"/>
    <m/>
    <n v="0"/>
    <n v="0"/>
    <n v="0"/>
    <n v="0"/>
    <m/>
    <n v="0"/>
    <m/>
  </r>
  <r>
    <x v="7"/>
    <s v="Harford Community College "/>
    <m/>
    <n v="162706"/>
    <x v="7"/>
    <n v="114204"/>
    <n v="112934.5"/>
    <n v="77924"/>
    <n v="72596.5"/>
    <n v="1698"/>
    <n v="2971"/>
    <n v="34582"/>
    <n v="0"/>
    <n v="0"/>
    <n v="37367"/>
    <n v="0"/>
    <m/>
    <n v="0"/>
    <m/>
    <n v="0"/>
    <n v="0"/>
    <m/>
    <n v="0"/>
    <m/>
    <n v="0"/>
    <m/>
    <n v="0"/>
    <n v="0"/>
    <n v="0"/>
    <n v="0"/>
    <m/>
    <n v="0"/>
    <m/>
  </r>
  <r>
    <x v="7"/>
    <s v="Wor-Wic Community College "/>
    <m/>
    <n v="164313"/>
    <x v="8"/>
    <n v="54688"/>
    <n v="52756.5"/>
    <n v="44647"/>
    <n v="40409.5"/>
    <n v="1797"/>
    <n v="2401"/>
    <n v="8211"/>
    <n v="33"/>
    <n v="0"/>
    <n v="9871"/>
    <n v="75"/>
    <m/>
    <n v="0"/>
    <m/>
    <n v="0"/>
    <n v="0"/>
    <m/>
    <n v="0"/>
    <m/>
    <n v="0"/>
    <m/>
    <n v="0"/>
    <n v="0"/>
    <n v="0"/>
    <n v="0"/>
    <m/>
    <n v="0"/>
    <m/>
  </r>
  <r>
    <x v="7"/>
    <s v="Cecil Community College "/>
    <m/>
    <n v="162104"/>
    <x v="8"/>
    <n v="47713"/>
    <n v="45607"/>
    <n v="34813"/>
    <n v="32092"/>
    <n v="1791"/>
    <n v="2432"/>
    <n v="11109"/>
    <n v="0"/>
    <n v="0"/>
    <n v="11083"/>
    <n v="0"/>
    <m/>
    <n v="0"/>
    <m/>
    <n v="0"/>
    <n v="0"/>
    <m/>
    <n v="0"/>
    <m/>
    <n v="0"/>
    <m/>
    <n v="0"/>
    <n v="0"/>
    <n v="0"/>
    <n v="0"/>
    <m/>
    <n v="0"/>
    <m/>
  </r>
  <r>
    <x v="7"/>
    <s v="Chesapeake College "/>
    <m/>
    <n v="162168"/>
    <x v="8"/>
    <n v="37712"/>
    <n v="36291"/>
    <n v="24108"/>
    <n v="22028"/>
    <n v="4101"/>
    <n v="4117"/>
    <n v="8495"/>
    <n v="1008"/>
    <n v="0"/>
    <n v="9294"/>
    <n v="852"/>
    <m/>
    <n v="0"/>
    <m/>
    <n v="0"/>
    <n v="0"/>
    <m/>
    <n v="0"/>
    <m/>
    <n v="0"/>
    <m/>
    <n v="0"/>
    <n v="0"/>
    <n v="0"/>
    <n v="0"/>
    <m/>
    <n v="0"/>
    <m/>
  </r>
  <r>
    <x v="7"/>
    <s v="Garrett College "/>
    <m/>
    <n v="162609"/>
    <x v="8"/>
    <n v="17465"/>
    <n v="15301"/>
    <n v="13827"/>
    <n v="11996"/>
    <n v="146"/>
    <n v="116"/>
    <n v="2910"/>
    <n v="582"/>
    <n v="0"/>
    <n v="2793"/>
    <n v="396"/>
    <m/>
    <n v="0"/>
    <m/>
    <n v="0"/>
    <n v="0"/>
    <m/>
    <n v="0"/>
    <m/>
    <n v="0"/>
    <m/>
    <n v="0"/>
    <n v="0"/>
    <n v="0"/>
    <n v="0"/>
    <m/>
    <n v="0"/>
    <m/>
  </r>
  <r>
    <x v="7"/>
    <s v="University of Maryland University College"/>
    <m/>
    <n v="163204"/>
    <x v="11"/>
    <n v="775760"/>
    <n v="793333"/>
    <n v="0"/>
    <n v="0"/>
    <n v="50588"/>
    <n v="44921"/>
    <n v="725172"/>
    <n v="0"/>
    <n v="0"/>
    <n v="748412"/>
    <n v="0"/>
    <m/>
    <n v="0"/>
    <m/>
    <n v="186055"/>
    <n v="205005"/>
    <n v="0"/>
    <n v="0"/>
    <n v="105"/>
    <n v="288"/>
    <n v="185950"/>
    <n v="0"/>
    <n v="0"/>
    <n v="204717"/>
    <n v="0"/>
    <m/>
    <n v="0"/>
    <m/>
  </r>
  <r>
    <x v="7"/>
    <s v="University of Maryland, Baltimore"/>
    <m/>
    <n v="163259"/>
    <x v="11"/>
    <n v="21443"/>
    <n v="22683"/>
    <n v="10931"/>
    <n v="11428.5"/>
    <n v="7116"/>
    <n v="7076"/>
    <n v="3306"/>
    <n v="90"/>
    <n v="0"/>
    <n v="4178.5"/>
    <n v="0"/>
    <m/>
    <n v="0"/>
    <m/>
    <n v="47155"/>
    <n v="50170"/>
    <n v="23792"/>
    <n v="27127"/>
    <n v="7020"/>
    <n v="7115"/>
    <n v="16158"/>
    <n v="185"/>
    <n v="0"/>
    <n v="15807"/>
    <n v="121"/>
    <m/>
    <n v="0"/>
    <m/>
  </r>
  <r>
    <x v="8"/>
    <s v="Mississippi State University"/>
    <m/>
    <n v="176080"/>
    <x v="0"/>
    <n v="496999"/>
    <n v="513921"/>
    <n v="455685"/>
    <n v="470636"/>
    <n v="10776"/>
    <n v="10723"/>
    <n v="30358"/>
    <n v="180"/>
    <m/>
    <n v="32413"/>
    <n v="147"/>
    <m/>
    <m/>
    <n v="2"/>
    <n v="55118"/>
    <n v="55256"/>
    <n v="39765"/>
    <n v="39557"/>
    <n v="1507"/>
    <n v="1516"/>
    <n v="13311"/>
    <n v="535"/>
    <m/>
    <n v="13752"/>
    <n v="413"/>
    <m/>
    <n v="0"/>
    <n v="18"/>
  </r>
  <r>
    <x v="8"/>
    <s v="University of Southern Mississippi"/>
    <m/>
    <n v="176372"/>
    <x v="0"/>
    <n v="323011"/>
    <n v="326683"/>
    <n v="217621"/>
    <n v="208669"/>
    <n v="33058"/>
    <n v="29740"/>
    <n v="66688"/>
    <n v="5644"/>
    <m/>
    <n v="82614"/>
    <n v="5660"/>
    <m/>
    <m/>
    <m/>
    <n v="52989"/>
    <n v="51846"/>
    <n v="31781"/>
    <n v="29570"/>
    <n v="4618"/>
    <n v="4467"/>
    <n v="15795"/>
    <n v="641"/>
    <m/>
    <n v="16896"/>
    <n v="841"/>
    <m/>
    <n v="154"/>
    <n v="72"/>
  </r>
  <r>
    <x v="8"/>
    <s v="Jackson State University "/>
    <m/>
    <n v="175856"/>
    <x v="1"/>
    <n v="170044"/>
    <n v="160290"/>
    <n v="122687"/>
    <n v="111456"/>
    <n v="5119"/>
    <n v="3577"/>
    <n v="42238"/>
    <m/>
    <m/>
    <n v="45257"/>
    <m/>
    <m/>
    <m/>
    <m/>
    <n v="34076"/>
    <n v="31757"/>
    <n v="11837"/>
    <n v="11115"/>
    <n v="8720"/>
    <n v="6525"/>
    <n v="13519"/>
    <m/>
    <m/>
    <n v="14117"/>
    <m/>
    <m/>
    <m/>
    <m/>
  </r>
  <r>
    <x v="8"/>
    <s v="University of Mississippi"/>
    <s v="Reclassified: Met the criteria for Four-Year 1 in 2015-16, 2016-17, and 2017-18."/>
    <n v="176017"/>
    <x v="1"/>
    <n v="559059"/>
    <n v="565459"/>
    <n v="471885"/>
    <n v="466806"/>
    <n v="40657"/>
    <n v="35887"/>
    <n v="33593"/>
    <n v="11736"/>
    <m/>
    <n v="48966"/>
    <n v="11193"/>
    <m/>
    <n v="1188"/>
    <n v="2607"/>
    <n v="65669"/>
    <n v="66244"/>
    <n v="58244"/>
    <n v="57755"/>
    <n v="492"/>
    <n v="954"/>
    <n v="6141"/>
    <n v="771"/>
    <m/>
    <n v="6758"/>
    <n v="753"/>
    <m/>
    <n v="21"/>
    <n v="24"/>
  </r>
  <r>
    <x v="8"/>
    <s v="Alcorn State University"/>
    <m/>
    <n v="175342"/>
    <x v="3"/>
    <n v="80850"/>
    <n v="89132"/>
    <n v="59867"/>
    <n v="62316"/>
    <n v="2845"/>
    <n v="2778"/>
    <n v="18138"/>
    <m/>
    <m/>
    <n v="24038"/>
    <m/>
    <m/>
    <m/>
    <m/>
    <n v="10251"/>
    <n v="9500"/>
    <n v="2341"/>
    <n v="2078"/>
    <n v="240"/>
    <n v="87"/>
    <n v="7670"/>
    <m/>
    <n v="0"/>
    <n v="7335"/>
    <m/>
    <m/>
    <m/>
    <m/>
  </r>
  <r>
    <x v="8"/>
    <s v="Delta State University"/>
    <m/>
    <n v="175616"/>
    <x v="3"/>
    <n v="73173"/>
    <n v="72849"/>
    <n v="56141"/>
    <n v="55089"/>
    <n v="1872"/>
    <n v="3737"/>
    <n v="15055"/>
    <m/>
    <n v="105"/>
    <n v="14023"/>
    <m/>
    <m/>
    <m/>
    <m/>
    <n v="24754"/>
    <n v="22657"/>
    <n v="3102"/>
    <n v="3272"/>
    <n v="231"/>
    <m/>
    <n v="21367"/>
    <m/>
    <n v="54"/>
    <n v="19355"/>
    <m/>
    <n v="30"/>
    <m/>
    <m/>
  </r>
  <r>
    <x v="8"/>
    <s v="Mississippi Valley State University"/>
    <m/>
    <n v="176044"/>
    <x v="3"/>
    <n v="53785"/>
    <n v="52906"/>
    <n v="45169"/>
    <n v="39897"/>
    <n v="1674"/>
    <n v="477"/>
    <n v="6081"/>
    <m/>
    <m/>
    <n v="11749"/>
    <m/>
    <m/>
    <n v="861"/>
    <n v="783"/>
    <n v="5814"/>
    <n v="6695"/>
    <n v="4014"/>
    <n v="2607"/>
    <n v="87"/>
    <n v="96"/>
    <n v="1608"/>
    <m/>
    <m/>
    <n v="3938"/>
    <m/>
    <m/>
    <n v="105"/>
    <n v="54"/>
  </r>
  <r>
    <x v="8"/>
    <s v="Mississippi University for Women"/>
    <s v="Met the criteria for Four-Year 4 in 2017-18."/>
    <n v="176035"/>
    <x v="4"/>
    <n v="71262"/>
    <n v="71874"/>
    <n v="35589"/>
    <n v="34783"/>
    <n v="152"/>
    <n v="107"/>
    <n v="35521"/>
    <m/>
    <m/>
    <n v="36984"/>
    <m/>
    <m/>
    <m/>
    <m/>
    <n v="4839"/>
    <n v="4648"/>
    <n v="2561"/>
    <n v="2502"/>
    <n v="464"/>
    <n v="561"/>
    <n v="1814"/>
    <m/>
    <m/>
    <n v="1585"/>
    <m/>
    <m/>
    <m/>
    <m/>
  </r>
  <r>
    <x v="8"/>
    <s v="Hinds Community College "/>
    <m/>
    <n v="175786"/>
    <x v="6"/>
    <n v="295516"/>
    <n v="290976"/>
    <n v="225107"/>
    <n v="217813"/>
    <n v="12040"/>
    <n v="13134"/>
    <n v="58369"/>
    <m/>
    <m/>
    <n v="60029"/>
    <m/>
    <m/>
    <m/>
    <m/>
    <n v="0"/>
    <n v="0"/>
    <m/>
    <m/>
    <m/>
    <m/>
    <m/>
    <m/>
    <m/>
    <m/>
    <m/>
    <m/>
    <m/>
    <m/>
  </r>
  <r>
    <x v="8"/>
    <s v="Itawamba Community College "/>
    <s v="Met the criteria for Two-Year 2 in 2017-18."/>
    <n v="175829"/>
    <x v="6"/>
    <n v="151176"/>
    <n v="142164"/>
    <n v="91224"/>
    <n v="86061"/>
    <n v="5389"/>
    <n v="4986"/>
    <n v="54563"/>
    <m/>
    <m/>
    <n v="51117"/>
    <m/>
    <m/>
    <m/>
    <m/>
    <n v="0"/>
    <n v="0"/>
    <m/>
    <m/>
    <m/>
    <m/>
    <m/>
    <m/>
    <m/>
    <m/>
    <m/>
    <m/>
    <m/>
    <m/>
  </r>
  <r>
    <x v="8"/>
    <s v="Mississippi Gulf Coast Community College "/>
    <m/>
    <n v="176071"/>
    <x v="6"/>
    <n v="233664"/>
    <n v="229650"/>
    <n v="158146"/>
    <n v="154030"/>
    <n v="8947"/>
    <n v="8513"/>
    <n v="66571"/>
    <m/>
    <m/>
    <n v="67107"/>
    <m/>
    <m/>
    <m/>
    <m/>
    <n v="0"/>
    <n v="0"/>
    <m/>
    <m/>
    <m/>
    <m/>
    <m/>
    <m/>
    <m/>
    <m/>
    <m/>
    <m/>
    <m/>
    <m/>
  </r>
  <r>
    <x v="8"/>
    <s v="Northwest Mississippi Community College "/>
    <m/>
    <n v="176178"/>
    <x v="6"/>
    <n v="198297"/>
    <n v="195873"/>
    <n v="155314"/>
    <n v="153888"/>
    <n v="0"/>
    <n v="0"/>
    <n v="42983"/>
    <m/>
    <m/>
    <n v="41985"/>
    <m/>
    <m/>
    <m/>
    <m/>
    <n v="0"/>
    <n v="0"/>
    <m/>
    <m/>
    <m/>
    <m/>
    <m/>
    <m/>
    <m/>
    <m/>
    <m/>
    <m/>
    <m/>
    <m/>
  </r>
  <r>
    <x v="8"/>
    <s v="Copiah-Lincoln Community College "/>
    <m/>
    <n v="175573"/>
    <x v="7"/>
    <n v="81798"/>
    <n v="80632"/>
    <n v="52061"/>
    <n v="49820"/>
    <n v="6220"/>
    <n v="5330"/>
    <n v="23517"/>
    <m/>
    <m/>
    <n v="25482"/>
    <m/>
    <m/>
    <m/>
    <m/>
    <n v="0"/>
    <n v="0"/>
    <m/>
    <m/>
    <m/>
    <m/>
    <m/>
    <m/>
    <m/>
    <m/>
    <m/>
    <m/>
    <m/>
    <m/>
  </r>
  <r>
    <x v="8"/>
    <s v="East Central Community College "/>
    <m/>
    <n v="175643"/>
    <x v="7"/>
    <n v="69193"/>
    <n v="68978"/>
    <n v="47824"/>
    <n v="46624"/>
    <n v="2930"/>
    <n v="3387"/>
    <n v="18439"/>
    <m/>
    <m/>
    <n v="18967"/>
    <m/>
    <m/>
    <m/>
    <m/>
    <n v="0"/>
    <n v="0"/>
    <m/>
    <m/>
    <m/>
    <m/>
    <m/>
    <m/>
    <m/>
    <m/>
    <m/>
    <m/>
    <m/>
    <m/>
  </r>
  <r>
    <x v="8"/>
    <s v="East Mississippi Community College "/>
    <m/>
    <n v="175652"/>
    <x v="7"/>
    <n v="114128"/>
    <n v="109962"/>
    <n v="72960"/>
    <n v="71747"/>
    <n v="2253"/>
    <n v="2277"/>
    <n v="38915"/>
    <m/>
    <m/>
    <n v="35938"/>
    <m/>
    <m/>
    <m/>
    <m/>
    <n v="0"/>
    <n v="0"/>
    <m/>
    <m/>
    <m/>
    <m/>
    <m/>
    <m/>
    <m/>
    <m/>
    <m/>
    <m/>
    <m/>
    <m/>
  </r>
  <r>
    <x v="8"/>
    <s v="Holmes Community College "/>
    <s v="Reclassified: Met the criteria for Two-Year 1 in 2015-16, 2016-17, and 2017-18."/>
    <n v="175810"/>
    <x v="6"/>
    <n v="159839"/>
    <n v="161853"/>
    <n v="94903"/>
    <n v="95861"/>
    <n v="4997"/>
    <n v="6275"/>
    <n v="59939"/>
    <m/>
    <m/>
    <n v="59717"/>
    <m/>
    <m/>
    <m/>
    <m/>
    <n v="0"/>
    <n v="0"/>
    <m/>
    <m/>
    <m/>
    <m/>
    <m/>
    <m/>
    <m/>
    <m/>
    <m/>
    <m/>
    <m/>
    <m/>
  </r>
  <r>
    <x v="8"/>
    <s v="Jones County Junior College "/>
    <m/>
    <n v="175883"/>
    <x v="7"/>
    <n v="138228"/>
    <n v="132964"/>
    <n v="109055"/>
    <n v="104744"/>
    <n v="0"/>
    <n v="0"/>
    <n v="29173"/>
    <m/>
    <m/>
    <n v="28220"/>
    <m/>
    <m/>
    <m/>
    <m/>
    <n v="0"/>
    <n v="0"/>
    <m/>
    <m/>
    <m/>
    <m/>
    <m/>
    <m/>
    <m/>
    <m/>
    <m/>
    <m/>
    <m/>
    <m/>
  </r>
  <r>
    <x v="8"/>
    <s v="Meridian Community College "/>
    <m/>
    <n v="175935"/>
    <x v="7"/>
    <n v="91889.5"/>
    <n v="92654"/>
    <n v="72339.5"/>
    <n v="70070"/>
    <n v="669"/>
    <n v="684"/>
    <n v="18881"/>
    <m/>
    <m/>
    <n v="21900"/>
    <m/>
    <m/>
    <m/>
    <m/>
    <n v="0"/>
    <n v="0"/>
    <m/>
    <m/>
    <m/>
    <m/>
    <m/>
    <m/>
    <m/>
    <m/>
    <m/>
    <m/>
    <m/>
    <m/>
  </r>
  <r>
    <x v="8"/>
    <s v="Mississippi Delta Community College "/>
    <m/>
    <n v="176008"/>
    <x v="7"/>
    <n v="64414"/>
    <n v="63672"/>
    <n v="47524"/>
    <n v="47638"/>
    <n v="7620"/>
    <n v="6204"/>
    <n v="9270"/>
    <m/>
    <m/>
    <n v="9830"/>
    <m/>
    <m/>
    <m/>
    <m/>
    <n v="0"/>
    <n v="0"/>
    <m/>
    <m/>
    <m/>
    <m/>
    <m/>
    <m/>
    <m/>
    <m/>
    <m/>
    <m/>
    <m/>
    <m/>
  </r>
  <r>
    <x v="8"/>
    <s v="Northeast Mississippi Community College "/>
    <m/>
    <n v="176169"/>
    <x v="7"/>
    <n v="92221"/>
    <n v="91120"/>
    <n v="72145"/>
    <n v="69040"/>
    <n v="0"/>
    <n v="0"/>
    <n v="20076"/>
    <m/>
    <m/>
    <n v="22080"/>
    <m/>
    <m/>
    <m/>
    <m/>
    <n v="0"/>
    <n v="0"/>
    <m/>
    <m/>
    <m/>
    <m/>
    <m/>
    <m/>
    <m/>
    <m/>
    <m/>
    <m/>
    <m/>
    <m/>
  </r>
  <r>
    <x v="8"/>
    <s v="Pearl River Community College "/>
    <m/>
    <n v="176239"/>
    <x v="7"/>
    <n v="114853"/>
    <n v="120448"/>
    <n v="89359"/>
    <n v="91945"/>
    <n v="2803"/>
    <n v="3613"/>
    <n v="22691"/>
    <m/>
    <m/>
    <n v="24890"/>
    <m/>
    <m/>
    <m/>
    <m/>
    <n v="0"/>
    <n v="0"/>
    <m/>
    <m/>
    <m/>
    <m/>
    <m/>
    <m/>
    <m/>
    <m/>
    <m/>
    <m/>
    <m/>
    <m/>
  </r>
  <r>
    <x v="8"/>
    <s v="Coahoma Community College "/>
    <m/>
    <n v="175519"/>
    <x v="8"/>
    <n v="50162"/>
    <n v="51011"/>
    <n v="43338"/>
    <n v="42002"/>
    <n v="1203"/>
    <n v="888"/>
    <n v="5621"/>
    <m/>
    <m/>
    <n v="8121"/>
    <m/>
    <m/>
    <m/>
    <m/>
    <n v="0"/>
    <n v="0"/>
    <m/>
    <m/>
    <m/>
    <m/>
    <m/>
    <m/>
    <m/>
    <m/>
    <m/>
    <m/>
    <m/>
    <m/>
  </r>
  <r>
    <x v="8"/>
    <s v="Southwest Mississippi Community College"/>
    <m/>
    <n v="176354"/>
    <x v="8"/>
    <n v="53844"/>
    <n v="54536"/>
    <n v="43078"/>
    <n v="42986"/>
    <n v="0"/>
    <n v="0"/>
    <n v="10766"/>
    <m/>
    <m/>
    <n v="11550"/>
    <m/>
    <m/>
    <m/>
    <m/>
    <n v="0"/>
    <n v="0"/>
    <m/>
    <m/>
    <m/>
    <m/>
    <m/>
    <m/>
    <m/>
    <m/>
    <m/>
    <m/>
    <m/>
    <m/>
  </r>
  <r>
    <x v="9"/>
    <s v="North Carolina State University "/>
    <m/>
    <n v="199193"/>
    <x v="0"/>
    <n v="677964"/>
    <n v="681219"/>
    <n v="575959"/>
    <n v="573441"/>
    <n v="3644"/>
    <n v="2935"/>
    <n v="95614"/>
    <n v="0"/>
    <n v="2747"/>
    <n v="101593"/>
    <n v="0"/>
    <n v="3250"/>
    <m/>
    <m/>
    <n v="151973"/>
    <n v="157466"/>
    <n v="117347"/>
    <n v="118667"/>
    <n v="4567"/>
    <n v="5868"/>
    <n v="28562"/>
    <n v="0"/>
    <n v="1497"/>
    <n v="30091"/>
    <n v="0"/>
    <n v="2840"/>
    <m/>
    <m/>
  </r>
  <r>
    <x v="9"/>
    <s v="University of North Carolina at Chapel Hill "/>
    <m/>
    <n v="199120"/>
    <x v="0"/>
    <n v="516898"/>
    <n v="521127"/>
    <n v="498909"/>
    <n v="503977"/>
    <n v="20"/>
    <n v="0"/>
    <n v="17951"/>
    <n v="18"/>
    <n v="0"/>
    <n v="17123"/>
    <n v="27"/>
    <n v="0"/>
    <m/>
    <m/>
    <n v="179274"/>
    <n v="177975"/>
    <n v="147558"/>
    <n v="150369"/>
    <n v="2308"/>
    <n v="2603"/>
    <n v="29302"/>
    <n v="106"/>
    <n v="0"/>
    <n v="24930"/>
    <n v="73"/>
    <n v="0"/>
    <m/>
    <m/>
  </r>
  <r>
    <x v="9"/>
    <s v="University of North Carolina at Charlotte"/>
    <m/>
    <n v="199139"/>
    <x v="0"/>
    <n v="656459"/>
    <n v="670251"/>
    <n v="569451"/>
    <n v="582066"/>
    <n v="0"/>
    <n v="0"/>
    <n v="86855"/>
    <n v="153"/>
    <n v="0"/>
    <n v="87968"/>
    <n v="217"/>
    <n v="0"/>
    <m/>
    <m/>
    <n v="85738"/>
    <n v="88093"/>
    <n v="69129"/>
    <n v="70777"/>
    <n v="0"/>
    <n v="0"/>
    <n v="16609"/>
    <n v="0"/>
    <n v="0"/>
    <n v="17271"/>
    <n v="45"/>
    <n v="0"/>
    <m/>
    <m/>
  </r>
  <r>
    <x v="9"/>
    <s v="University of North Carolina at Greensboro"/>
    <m/>
    <n v="199148"/>
    <x v="0"/>
    <n v="443938"/>
    <n v="453649"/>
    <n v="346189"/>
    <n v="350829"/>
    <n v="0"/>
    <n v="0"/>
    <n v="97749"/>
    <n v="0"/>
    <n v="0"/>
    <n v="102820"/>
    <n v="0"/>
    <n v="0"/>
    <m/>
    <m/>
    <n v="56810"/>
    <n v="59391"/>
    <n v="41863"/>
    <n v="42911"/>
    <n v="0"/>
    <n v="15"/>
    <n v="14947"/>
    <n v="0"/>
    <n v="0"/>
    <n v="16465"/>
    <n v="0"/>
    <n v="0"/>
    <m/>
    <m/>
  </r>
  <r>
    <x v="9"/>
    <s v="East Carolina University "/>
    <m/>
    <n v="198464"/>
    <x v="1"/>
    <n v="636002"/>
    <n v="636129"/>
    <n v="502213"/>
    <n v="506194"/>
    <n v="2812"/>
    <n v="2446"/>
    <n v="130962"/>
    <n v="15"/>
    <n v="0"/>
    <n v="127381"/>
    <n v="108"/>
    <n v="0"/>
    <m/>
    <m/>
    <n v="80701"/>
    <n v="83269"/>
    <n v="34350"/>
    <n v="34419"/>
    <n v="4318"/>
    <n v="3856"/>
    <n v="42031"/>
    <n v="2"/>
    <n v="0"/>
    <n v="44867"/>
    <n v="127"/>
    <n v="0"/>
    <m/>
    <m/>
  </r>
  <r>
    <x v="9"/>
    <s v="Appalachian State University "/>
    <m/>
    <n v="197869"/>
    <x v="2"/>
    <n v="500723"/>
    <n v="511381"/>
    <n v="460590"/>
    <n v="466535"/>
    <n v="3152"/>
    <n v="3071"/>
    <n v="36981"/>
    <n v="0"/>
    <n v="0"/>
    <n v="41775"/>
    <n v="0"/>
    <n v="0"/>
    <m/>
    <m/>
    <n v="33924"/>
    <n v="34048"/>
    <n v="24135"/>
    <n v="23709"/>
    <n v="1391"/>
    <n v="660"/>
    <n v="8398"/>
    <n v="0"/>
    <n v="0"/>
    <n v="9679"/>
    <n v="0"/>
    <n v="0"/>
    <m/>
    <m/>
  </r>
  <r>
    <x v="9"/>
    <s v="North Carolina A&amp;T State University"/>
    <s v="Met the criteria for Four-Year 2 in 2016-17 and 2017-18."/>
    <n v="199102"/>
    <x v="2"/>
    <n v="276698"/>
    <n v="285632"/>
    <n v="242895"/>
    <n v="247825"/>
    <n v="0"/>
    <n v="552"/>
    <n v="33782"/>
    <n v="21"/>
    <n v="0"/>
    <n v="37255"/>
    <n v="0"/>
    <n v="0"/>
    <m/>
    <m/>
    <n v="25975"/>
    <n v="25598"/>
    <n v="20419"/>
    <n v="18860"/>
    <n v="0"/>
    <n v="64"/>
    <n v="5359"/>
    <n v="197"/>
    <n v="0"/>
    <n v="6617"/>
    <n v="57"/>
    <n v="0"/>
    <m/>
    <m/>
  </r>
  <r>
    <x v="9"/>
    <s v="North Carolina Central University "/>
    <m/>
    <n v="199157"/>
    <x v="2"/>
    <n v="181656"/>
    <n v="181104"/>
    <n v="148706"/>
    <n v="144699"/>
    <n v="287"/>
    <n v="227"/>
    <n v="32663"/>
    <n v="0"/>
    <n v="0"/>
    <n v="36178"/>
    <n v="0"/>
    <n v="0"/>
    <m/>
    <m/>
    <n v="39327"/>
    <n v="38048"/>
    <n v="31378"/>
    <n v="28596"/>
    <n v="29"/>
    <n v="4"/>
    <n v="7920"/>
    <n v="0"/>
    <n v="0"/>
    <n v="9448"/>
    <n v="0"/>
    <n v="0"/>
    <m/>
    <m/>
  </r>
  <r>
    <x v="9"/>
    <s v="University of North Carolina at Wilmington"/>
    <m/>
    <n v="199218"/>
    <x v="2"/>
    <n v="398787"/>
    <n v="415399"/>
    <n v="314660"/>
    <n v="316373"/>
    <n v="6885"/>
    <n v="5475"/>
    <n v="77094"/>
    <n v="148"/>
    <n v="0"/>
    <n v="93435"/>
    <n v="116"/>
    <n v="0"/>
    <m/>
    <m/>
    <n v="30063"/>
    <n v="31197"/>
    <n v="14666"/>
    <n v="13917"/>
    <n v="1112"/>
    <n v="1281"/>
    <n v="14177"/>
    <n v="108"/>
    <n v="0"/>
    <n v="15900"/>
    <n v="99"/>
    <n v="0"/>
    <m/>
    <m/>
  </r>
  <r>
    <x v="9"/>
    <s v="Western Carolina University "/>
    <m/>
    <n v="200004"/>
    <x v="2"/>
    <n v="252589"/>
    <n v="260240"/>
    <n v="212325"/>
    <n v="217013"/>
    <n v="3847"/>
    <n v="4093"/>
    <n v="36411"/>
    <n v="6"/>
    <n v="0"/>
    <n v="39062"/>
    <n v="72"/>
    <n v="0"/>
    <m/>
    <m/>
    <n v="29249"/>
    <n v="31376"/>
    <n v="10318"/>
    <n v="10187"/>
    <n v="7172"/>
    <n v="7462"/>
    <n v="11759"/>
    <n v="0"/>
    <n v="0"/>
    <n v="13727"/>
    <n v="0"/>
    <n v="0"/>
    <m/>
    <m/>
  </r>
  <r>
    <x v="9"/>
    <s v="Fayetteville State University "/>
    <m/>
    <n v="198543"/>
    <x v="3"/>
    <n v="147968"/>
    <n v="142028"/>
    <n v="101903"/>
    <n v="93800"/>
    <n v="1547"/>
    <n v="944"/>
    <n v="44518"/>
    <n v="0"/>
    <n v="0"/>
    <n v="47284"/>
    <n v="0"/>
    <n v="0"/>
    <m/>
    <m/>
    <n v="12527"/>
    <n v="15133"/>
    <n v="5671"/>
    <n v="5994"/>
    <n v="1518"/>
    <n v="1287"/>
    <n v="5338"/>
    <n v="0"/>
    <n v="0"/>
    <n v="7852"/>
    <n v="0"/>
    <n v="0"/>
    <m/>
    <m/>
  </r>
  <r>
    <x v="9"/>
    <s v="University of North Carolina at Pembroke"/>
    <m/>
    <n v="199281"/>
    <x v="4"/>
    <n v="152757"/>
    <n v="148798"/>
    <n v="112998"/>
    <n v="108303"/>
    <n v="1451"/>
    <n v="1416"/>
    <n v="37788"/>
    <n v="520"/>
    <n v="0"/>
    <n v="38629"/>
    <n v="450"/>
    <n v="0"/>
    <m/>
    <m/>
    <n v="12414"/>
    <n v="12210"/>
    <n v="6177"/>
    <n v="5384"/>
    <n v="526"/>
    <n v="964"/>
    <n v="5693"/>
    <n v="18"/>
    <n v="0"/>
    <n v="5769"/>
    <n v="93"/>
    <n v="0"/>
    <m/>
    <m/>
  </r>
  <r>
    <x v="9"/>
    <s v="Winston-Salem State University "/>
    <m/>
    <n v="199999"/>
    <x v="4"/>
    <n v="132984"/>
    <n v="130938"/>
    <n v="101839"/>
    <n v="103842"/>
    <n v="74"/>
    <n v="154"/>
    <n v="16895"/>
    <n v="0"/>
    <n v="14176"/>
    <n v="15636"/>
    <n v="0"/>
    <n v="11306"/>
    <m/>
    <m/>
    <n v="10362"/>
    <n v="10299"/>
    <n v="6573"/>
    <n v="6116"/>
    <n v="56"/>
    <n v="243"/>
    <n v="2157"/>
    <n v="0"/>
    <n v="1576"/>
    <n v="2315"/>
    <n v="0"/>
    <n v="1625"/>
    <m/>
    <m/>
  </r>
  <r>
    <x v="9"/>
    <s v="Elizabeth City State University "/>
    <m/>
    <n v="198507"/>
    <x v="5"/>
    <n v="43335"/>
    <n v="36807"/>
    <n v="30816"/>
    <n v="31183"/>
    <n v="36"/>
    <n v="80"/>
    <n v="12363"/>
    <n v="120"/>
    <n v="0"/>
    <n v="5373"/>
    <n v="171"/>
    <n v="0"/>
    <m/>
    <m/>
    <n v="666"/>
    <n v="743"/>
    <n v="572"/>
    <n v="632"/>
    <n v="0"/>
    <n v="0"/>
    <n v="94"/>
    <n v="0"/>
    <n v="0"/>
    <n v="111"/>
    <n v="0"/>
    <n v="0"/>
    <m/>
    <m/>
  </r>
  <r>
    <x v="9"/>
    <s v="University of North Carolina at Asheville"/>
    <m/>
    <n v="199111"/>
    <x v="5"/>
    <n v="103343"/>
    <n v="103254"/>
    <n v="99378"/>
    <n v="99072"/>
    <n v="720"/>
    <n v="864"/>
    <n v="887"/>
    <n v="2358"/>
    <n v="0"/>
    <n v="808"/>
    <n v="2510"/>
    <n v="0"/>
    <m/>
    <m/>
    <n v="257"/>
    <n v="278"/>
    <n v="257"/>
    <n v="269"/>
    <n v="0"/>
    <n v="0"/>
    <n v="0"/>
    <n v="0"/>
    <n v="0"/>
    <n v="9"/>
    <n v="0"/>
    <n v="0"/>
    <m/>
    <m/>
  </r>
  <r>
    <x v="9"/>
    <s v="Alamance Community College"/>
    <m/>
    <n v="199786"/>
    <x v="7"/>
    <n v="60619"/>
    <n v="58838"/>
    <n v="29471"/>
    <n v="27409"/>
    <n v="1850"/>
    <n v="1946"/>
    <n v="29298"/>
    <n v="0"/>
    <n v="0"/>
    <n v="29483"/>
    <n v="0"/>
    <n v="0"/>
    <m/>
    <m/>
    <n v="0"/>
    <n v="0"/>
    <m/>
    <m/>
    <m/>
    <m/>
    <m/>
    <m/>
    <m/>
    <m/>
    <m/>
    <m/>
    <m/>
    <m/>
  </r>
  <r>
    <x v="9"/>
    <s v="Asheville-Buncombe Technical Community College"/>
    <m/>
    <n v="197887"/>
    <x v="6"/>
    <n v="91707"/>
    <n v="93084"/>
    <n v="48716"/>
    <n v="46373"/>
    <n v="3974"/>
    <n v="4773"/>
    <n v="37727"/>
    <n v="1290"/>
    <n v="0"/>
    <n v="40422"/>
    <n v="1516"/>
    <n v="0"/>
    <m/>
    <m/>
    <n v="0"/>
    <n v="0"/>
    <m/>
    <m/>
    <m/>
    <m/>
    <m/>
    <m/>
    <m/>
    <m/>
    <m/>
    <m/>
    <m/>
    <m/>
  </r>
  <r>
    <x v="9"/>
    <s v="Beaufort County Community College "/>
    <m/>
    <n v="197966"/>
    <x v="8"/>
    <n v="25051"/>
    <n v="24804"/>
    <n v="4335"/>
    <n v="3268"/>
    <n v="107"/>
    <n v="244"/>
    <n v="18628"/>
    <n v="0"/>
    <n v="1981"/>
    <n v="18708"/>
    <n v="0"/>
    <n v="2584"/>
    <m/>
    <m/>
    <n v="0"/>
    <n v="0"/>
    <m/>
    <m/>
    <m/>
    <m/>
    <m/>
    <m/>
    <m/>
    <m/>
    <m/>
    <m/>
    <m/>
    <m/>
  </r>
  <r>
    <x v="9"/>
    <s v="Bladen Community College"/>
    <m/>
    <n v="198011"/>
    <x v="8"/>
    <n v="21125"/>
    <n v="19642"/>
    <n v="5263"/>
    <n v="4249"/>
    <n v="168"/>
    <n v="517"/>
    <n v="14528"/>
    <n v="1166"/>
    <n v="0"/>
    <n v="13528"/>
    <n v="1321"/>
    <n v="27"/>
    <m/>
    <m/>
    <n v="0"/>
    <n v="0"/>
    <m/>
    <m/>
    <m/>
    <m/>
    <m/>
    <m/>
    <m/>
    <m/>
    <m/>
    <m/>
    <m/>
    <m/>
  </r>
  <r>
    <x v="9"/>
    <s v="Blue Ridge Community College"/>
    <m/>
    <n v="198039"/>
    <x v="8"/>
    <n v="30217"/>
    <n v="30833"/>
    <n v="9236"/>
    <n v="8086"/>
    <n v="358"/>
    <n v="1176"/>
    <n v="20623"/>
    <n v="0"/>
    <n v="0"/>
    <n v="21571"/>
    <n v="0"/>
    <n v="0"/>
    <m/>
    <m/>
    <n v="0"/>
    <n v="0"/>
    <m/>
    <m/>
    <m/>
    <m/>
    <m/>
    <m/>
    <m/>
    <m/>
    <m/>
    <m/>
    <m/>
    <m/>
  </r>
  <r>
    <x v="9"/>
    <s v="Brunswick Community College"/>
    <m/>
    <n v="198084"/>
    <x v="8"/>
    <n v="23610"/>
    <n v="21369"/>
    <n v="8484"/>
    <n v="7681"/>
    <n v="45"/>
    <n v="112"/>
    <n v="15015"/>
    <n v="66"/>
    <n v="0"/>
    <n v="13576"/>
    <n v="0"/>
    <n v="0"/>
    <m/>
    <m/>
    <n v="0"/>
    <n v="0"/>
    <m/>
    <m/>
    <m/>
    <m/>
    <m/>
    <m/>
    <m/>
    <m/>
    <m/>
    <m/>
    <m/>
    <m/>
  </r>
  <r>
    <x v="9"/>
    <s v="Caldwell Community College &amp; Technical Institute"/>
    <m/>
    <n v="198118"/>
    <x v="7"/>
    <n v="54297"/>
    <n v="53164"/>
    <n v="17990"/>
    <n v="14961"/>
    <n v="1640"/>
    <n v="1558"/>
    <n v="30182"/>
    <n v="4485"/>
    <n v="0"/>
    <n v="31083"/>
    <n v="5562"/>
    <n v="0"/>
    <m/>
    <m/>
    <n v="0"/>
    <n v="0"/>
    <m/>
    <m/>
    <m/>
    <m/>
    <m/>
    <m/>
    <m/>
    <m/>
    <m/>
    <m/>
    <m/>
    <m/>
  </r>
  <r>
    <x v="9"/>
    <s v="Cape Fear Community College"/>
    <m/>
    <n v="198154"/>
    <x v="6"/>
    <n v="135335"/>
    <n v="132903"/>
    <n v="57761"/>
    <n v="55346"/>
    <n v="263"/>
    <n v="153"/>
    <n v="77311"/>
    <n v="0"/>
    <n v="0"/>
    <n v="77404"/>
    <n v="0"/>
    <n v="0"/>
    <m/>
    <m/>
    <n v="0"/>
    <n v="0"/>
    <m/>
    <m/>
    <m/>
    <m/>
    <m/>
    <m/>
    <m/>
    <m/>
    <m/>
    <m/>
    <m/>
    <m/>
  </r>
  <r>
    <x v="9"/>
    <s v="Carteret Community College"/>
    <m/>
    <n v="198206"/>
    <x v="8"/>
    <n v="22344"/>
    <n v="23485"/>
    <n v="8518"/>
    <n v="8829"/>
    <n v="602"/>
    <n v="676"/>
    <n v="13224"/>
    <n v="0"/>
    <n v="0"/>
    <n v="13980"/>
    <n v="0"/>
    <n v="0"/>
    <m/>
    <m/>
    <n v="0"/>
    <n v="0"/>
    <m/>
    <m/>
    <m/>
    <m/>
    <m/>
    <m/>
    <m/>
    <m/>
    <m/>
    <m/>
    <m/>
    <m/>
  </r>
  <r>
    <x v="9"/>
    <s v="Catawba Valley Community College"/>
    <m/>
    <n v="198233"/>
    <x v="7"/>
    <n v="71526"/>
    <n v="73960"/>
    <n v="20507"/>
    <n v="20880"/>
    <n v="1528"/>
    <n v="1279"/>
    <n v="49491"/>
    <n v="0"/>
    <n v="0"/>
    <n v="51801"/>
    <n v="0"/>
    <n v="0"/>
    <m/>
    <m/>
    <n v="0"/>
    <n v="0"/>
    <m/>
    <m/>
    <m/>
    <m/>
    <m/>
    <m/>
    <m/>
    <m/>
    <m/>
    <m/>
    <m/>
    <m/>
  </r>
  <r>
    <x v="9"/>
    <s v="Central Carolina Commuity College"/>
    <m/>
    <n v="198251"/>
    <x v="7"/>
    <n v="71988"/>
    <n v="71369"/>
    <n v="26542"/>
    <n v="24380"/>
    <n v="2890"/>
    <n v="2536"/>
    <n v="42556"/>
    <n v="0"/>
    <n v="0"/>
    <n v="44453"/>
    <n v="0"/>
    <n v="0"/>
    <m/>
    <m/>
    <n v="0"/>
    <n v="0"/>
    <m/>
    <m/>
    <m/>
    <m/>
    <m/>
    <m/>
    <m/>
    <m/>
    <m/>
    <m/>
    <m/>
    <m/>
  </r>
  <r>
    <x v="9"/>
    <s v="Central Piedmont Community College "/>
    <m/>
    <n v="198260"/>
    <x v="6"/>
    <n v="267475"/>
    <n v="278224.59999999998"/>
    <n v="128177"/>
    <n v="126305.60000000001"/>
    <n v="3959"/>
    <n v="6207"/>
    <n v="134808"/>
    <n v="0"/>
    <n v="531"/>
    <n v="145698"/>
    <n v="0"/>
    <n v="14"/>
    <m/>
    <m/>
    <n v="0"/>
    <n v="0"/>
    <m/>
    <m/>
    <m/>
    <m/>
    <m/>
    <m/>
    <m/>
    <m/>
    <m/>
    <m/>
    <m/>
    <m/>
  </r>
  <r>
    <x v="9"/>
    <s v="Cleveland Community College"/>
    <m/>
    <n v="198321"/>
    <x v="7"/>
    <n v="42309"/>
    <n v="43071.5"/>
    <n v="11327"/>
    <n v="10374"/>
    <n v="2515"/>
    <n v="3009"/>
    <n v="28446"/>
    <n v="21"/>
    <n v="0"/>
    <n v="29588.5"/>
    <n v="100"/>
    <n v="0"/>
    <m/>
    <m/>
    <n v="0"/>
    <n v="0"/>
    <m/>
    <m/>
    <m/>
    <m/>
    <m/>
    <m/>
    <m/>
    <m/>
    <m/>
    <m/>
    <m/>
    <m/>
  </r>
  <r>
    <x v="9"/>
    <s v="Coastal Carolina Community College "/>
    <m/>
    <n v="198330"/>
    <x v="7"/>
    <n v="62262"/>
    <n v="59301"/>
    <n v="32108"/>
    <n v="30881"/>
    <n v="2879"/>
    <n v="2619"/>
    <n v="27275"/>
    <n v="0"/>
    <n v="0"/>
    <n v="25801"/>
    <n v="0"/>
    <n v="0"/>
    <m/>
    <m/>
    <n v="0"/>
    <n v="0"/>
    <m/>
    <m/>
    <m/>
    <m/>
    <m/>
    <m/>
    <m/>
    <m/>
    <m/>
    <m/>
    <m/>
    <m/>
  </r>
  <r>
    <x v="9"/>
    <s v="College of the Albemarle"/>
    <m/>
    <n v="197814"/>
    <x v="8"/>
    <n v="36845"/>
    <n v="38595"/>
    <n v="9394"/>
    <n v="9204"/>
    <n v="166"/>
    <n v="224"/>
    <n v="27285"/>
    <n v="0"/>
    <n v="0"/>
    <n v="29026"/>
    <n v="141"/>
    <n v="0"/>
    <m/>
    <m/>
    <n v="0"/>
    <n v="0"/>
    <m/>
    <m/>
    <m/>
    <m/>
    <m/>
    <m/>
    <m/>
    <m/>
    <m/>
    <m/>
    <m/>
    <m/>
  </r>
  <r>
    <x v="9"/>
    <s v="Craven Community College "/>
    <m/>
    <n v="198367"/>
    <x v="7"/>
    <n v="47160"/>
    <n v="47117"/>
    <n v="15845"/>
    <n v="14589"/>
    <n v="402"/>
    <n v="326"/>
    <n v="30913"/>
    <n v="0"/>
    <n v="0"/>
    <n v="32202"/>
    <n v="0"/>
    <n v="0"/>
    <m/>
    <m/>
    <n v="0"/>
    <n v="0"/>
    <m/>
    <m/>
    <m/>
    <m/>
    <m/>
    <m/>
    <m/>
    <m/>
    <m/>
    <m/>
    <m/>
    <m/>
  </r>
  <r>
    <x v="9"/>
    <s v="Davidson County Community College "/>
    <m/>
    <n v="198376"/>
    <x v="7"/>
    <n v="61654"/>
    <n v="59463"/>
    <n v="16307"/>
    <n v="13639"/>
    <n v="303"/>
    <n v="267"/>
    <n v="44632"/>
    <n v="412"/>
    <n v="0"/>
    <n v="45151"/>
    <n v="406"/>
    <n v="0"/>
    <m/>
    <m/>
    <n v="0"/>
    <n v="0"/>
    <m/>
    <m/>
    <m/>
    <m/>
    <m/>
    <m/>
    <m/>
    <m/>
    <m/>
    <m/>
    <m/>
    <m/>
  </r>
  <r>
    <x v="9"/>
    <s v="Durham Technical Community College"/>
    <m/>
    <n v="198455"/>
    <x v="7"/>
    <n v="65888"/>
    <n v="70365"/>
    <n v="33986"/>
    <n v="33574"/>
    <n v="794"/>
    <n v="757"/>
    <n v="31108"/>
    <n v="0"/>
    <n v="0"/>
    <n v="36034"/>
    <n v="0"/>
    <n v="0"/>
    <m/>
    <m/>
    <n v="0"/>
    <n v="0"/>
    <m/>
    <m/>
    <m/>
    <m/>
    <m/>
    <m/>
    <m/>
    <m/>
    <m/>
    <m/>
    <m/>
    <m/>
  </r>
  <r>
    <x v="9"/>
    <s v="Edgecombe Community College"/>
    <s v="Met the criteria for Two-Year 3 in 2016-17 and 2017-18."/>
    <n v="198491"/>
    <x v="7"/>
    <n v="37016"/>
    <n v="36501"/>
    <n v="10836"/>
    <n v="9727"/>
    <n v="970"/>
    <n v="1634"/>
    <n v="25210"/>
    <n v="0"/>
    <n v="0"/>
    <n v="25140"/>
    <n v="0"/>
    <n v="0"/>
    <m/>
    <m/>
    <n v="0"/>
    <n v="0"/>
    <m/>
    <m/>
    <m/>
    <m/>
    <m/>
    <m/>
    <m/>
    <m/>
    <m/>
    <m/>
    <m/>
    <m/>
  </r>
  <r>
    <x v="9"/>
    <s v="Fayetteville Technical Community College"/>
    <m/>
    <n v="198534"/>
    <x v="6"/>
    <n v="192126"/>
    <n v="196943"/>
    <n v="55355"/>
    <n v="53600"/>
    <n v="2154"/>
    <n v="2535"/>
    <n v="134399"/>
    <n v="218"/>
    <n v="0"/>
    <n v="140736"/>
    <n v="72"/>
    <n v="0"/>
    <m/>
    <m/>
    <n v="0"/>
    <n v="0"/>
    <m/>
    <m/>
    <m/>
    <m/>
    <m/>
    <m/>
    <m/>
    <m/>
    <m/>
    <m/>
    <m/>
    <m/>
  </r>
  <r>
    <x v="9"/>
    <s v="Forsyth Technical Community College"/>
    <m/>
    <n v="198552"/>
    <x v="6"/>
    <n v="112447"/>
    <n v="110781"/>
    <n v="56026"/>
    <n v="52402"/>
    <n v="3689"/>
    <n v="2975"/>
    <n v="52067"/>
    <n v="665"/>
    <n v="0"/>
    <n v="54841"/>
    <n v="563"/>
    <n v="0"/>
    <m/>
    <m/>
    <n v="0"/>
    <n v="0"/>
    <m/>
    <m/>
    <m/>
    <m/>
    <m/>
    <m/>
    <m/>
    <m/>
    <m/>
    <m/>
    <m/>
    <m/>
  </r>
  <r>
    <x v="9"/>
    <s v="Gaston College "/>
    <m/>
    <n v="198570"/>
    <x v="7"/>
    <n v="82777"/>
    <n v="79656"/>
    <n v="31606"/>
    <n v="28261"/>
    <n v="661"/>
    <n v="884"/>
    <n v="50006"/>
    <n v="504"/>
    <n v="0"/>
    <n v="49848"/>
    <n v="663"/>
    <n v="0"/>
    <m/>
    <m/>
    <n v="0"/>
    <n v="0"/>
    <m/>
    <m/>
    <m/>
    <m/>
    <m/>
    <m/>
    <m/>
    <m/>
    <m/>
    <m/>
    <m/>
    <m/>
  </r>
  <r>
    <x v="9"/>
    <s v="Guilford Technical Community College"/>
    <m/>
    <n v="198622"/>
    <x v="6"/>
    <n v="165844"/>
    <n v="153809.5"/>
    <n v="81489"/>
    <n v="72899.5"/>
    <n v="1966"/>
    <n v="2317"/>
    <n v="82389"/>
    <n v="0"/>
    <n v="0"/>
    <n v="78593"/>
    <n v="0"/>
    <n v="0"/>
    <m/>
    <m/>
    <n v="0"/>
    <n v="0"/>
    <m/>
    <m/>
    <m/>
    <m/>
    <m/>
    <m/>
    <m/>
    <m/>
    <m/>
    <m/>
    <m/>
    <m/>
  </r>
  <r>
    <x v="9"/>
    <s v="Halifax Community College "/>
    <m/>
    <n v="198640"/>
    <x v="8"/>
    <n v="17805"/>
    <n v="17462"/>
    <n v="4985"/>
    <n v="4237"/>
    <n v="1430"/>
    <n v="1384"/>
    <n v="11126"/>
    <n v="264"/>
    <n v="0"/>
    <n v="11607"/>
    <n v="234"/>
    <n v="0"/>
    <m/>
    <m/>
    <n v="0"/>
    <n v="0"/>
    <m/>
    <m/>
    <m/>
    <m/>
    <m/>
    <m/>
    <m/>
    <m/>
    <m/>
    <m/>
    <m/>
    <m/>
  </r>
  <r>
    <x v="9"/>
    <s v="Haywood Community College"/>
    <m/>
    <n v="198668"/>
    <x v="8"/>
    <n v="24794"/>
    <n v="22934"/>
    <n v="8044"/>
    <n v="7136"/>
    <n v="465"/>
    <n v="251"/>
    <n v="16285"/>
    <n v="0"/>
    <n v="0"/>
    <n v="15547"/>
    <n v="0"/>
    <n v="0"/>
    <m/>
    <m/>
    <n v="0"/>
    <n v="0"/>
    <m/>
    <m/>
    <m/>
    <m/>
    <m/>
    <m/>
    <m/>
    <m/>
    <m/>
    <m/>
    <m/>
    <m/>
  </r>
  <r>
    <x v="9"/>
    <s v="Isothermal Community College "/>
    <m/>
    <n v="198710"/>
    <x v="8"/>
    <n v="30188"/>
    <n v="30376"/>
    <n v="9683"/>
    <n v="8702"/>
    <n v="2385"/>
    <n v="2156"/>
    <n v="18120"/>
    <n v="0"/>
    <n v="0"/>
    <n v="19518"/>
    <n v="0"/>
    <n v="0"/>
    <m/>
    <m/>
    <n v="0"/>
    <n v="0"/>
    <m/>
    <m/>
    <m/>
    <m/>
    <m/>
    <m/>
    <m/>
    <m/>
    <m/>
    <m/>
    <m/>
    <m/>
  </r>
  <r>
    <x v="9"/>
    <s v="James Sprunt Community College"/>
    <m/>
    <n v="198729"/>
    <x v="8"/>
    <n v="17956"/>
    <n v="18595"/>
    <n v="6905"/>
    <n v="6107"/>
    <n v="44"/>
    <n v="402"/>
    <n v="10314"/>
    <n v="693"/>
    <n v="0"/>
    <n v="11339"/>
    <n v="747"/>
    <n v="0"/>
    <m/>
    <m/>
    <n v="0"/>
    <n v="0"/>
    <m/>
    <m/>
    <m/>
    <m/>
    <m/>
    <m/>
    <m/>
    <m/>
    <m/>
    <m/>
    <m/>
    <m/>
  </r>
  <r>
    <x v="9"/>
    <s v="Johnston Community College"/>
    <m/>
    <n v="198774"/>
    <x v="7"/>
    <n v="59310"/>
    <n v="57589"/>
    <n v="21760"/>
    <n v="19531"/>
    <n v="3653"/>
    <n v="2417"/>
    <n v="33372"/>
    <n v="525"/>
    <n v="0"/>
    <n v="35343"/>
    <n v="298"/>
    <n v="0"/>
    <m/>
    <m/>
    <n v="0"/>
    <n v="0"/>
    <m/>
    <m/>
    <m/>
    <m/>
    <m/>
    <m/>
    <m/>
    <m/>
    <m/>
    <m/>
    <m/>
    <m/>
  </r>
  <r>
    <x v="9"/>
    <s v="Lenoir Community College "/>
    <m/>
    <n v="198817"/>
    <x v="7"/>
    <n v="43783"/>
    <n v="43509"/>
    <n v="10871"/>
    <n v="9937"/>
    <n v="1181"/>
    <n v="1248"/>
    <n v="31731"/>
    <n v="0"/>
    <n v="0"/>
    <n v="32324"/>
    <n v="0"/>
    <n v="0"/>
    <m/>
    <m/>
    <n v="0"/>
    <n v="0"/>
    <m/>
    <m/>
    <m/>
    <m/>
    <m/>
    <m/>
    <m/>
    <m/>
    <m/>
    <m/>
    <m/>
    <m/>
  </r>
  <r>
    <x v="9"/>
    <s v="Martin Community College "/>
    <m/>
    <n v="198905"/>
    <x v="8"/>
    <n v="11524"/>
    <n v="12656"/>
    <n v="2774"/>
    <n v="3113"/>
    <n v="417"/>
    <n v="210"/>
    <n v="8046"/>
    <n v="287"/>
    <n v="0"/>
    <n v="9333"/>
    <n v="0"/>
    <n v="0"/>
    <m/>
    <m/>
    <n v="0"/>
    <n v="0"/>
    <m/>
    <m/>
    <m/>
    <m/>
    <m/>
    <m/>
    <m/>
    <m/>
    <m/>
    <m/>
    <m/>
    <m/>
  </r>
  <r>
    <x v="9"/>
    <s v="Mayland Community College"/>
    <m/>
    <n v="198914"/>
    <x v="8"/>
    <n v="12634"/>
    <n v="13507"/>
    <n v="4737"/>
    <n v="4996"/>
    <n v="1350"/>
    <n v="1522"/>
    <n v="6547"/>
    <n v="0"/>
    <n v="0"/>
    <n v="6965"/>
    <n v="0"/>
    <n v="24"/>
    <m/>
    <m/>
    <n v="0"/>
    <n v="0"/>
    <m/>
    <m/>
    <m/>
    <m/>
    <m/>
    <m/>
    <m/>
    <m/>
    <m/>
    <m/>
    <m/>
    <m/>
  </r>
  <r>
    <x v="9"/>
    <s v="McDowell Technical Community College"/>
    <m/>
    <n v="198923"/>
    <x v="8"/>
    <n v="15786"/>
    <n v="15575"/>
    <n v="6648"/>
    <n v="5943"/>
    <n v="41"/>
    <n v="253"/>
    <n v="9049"/>
    <n v="48"/>
    <n v="0"/>
    <n v="9346"/>
    <n v="33"/>
    <n v="0"/>
    <m/>
    <m/>
    <n v="0"/>
    <n v="0"/>
    <m/>
    <m/>
    <m/>
    <m/>
    <m/>
    <m/>
    <m/>
    <m/>
    <m/>
    <m/>
    <m/>
    <m/>
  </r>
  <r>
    <x v="9"/>
    <s v="Mitchell Community College "/>
    <m/>
    <n v="198987"/>
    <x v="7"/>
    <n v="47128"/>
    <n v="47091"/>
    <n v="12524"/>
    <n v="11099"/>
    <n v="424"/>
    <n v="1564"/>
    <n v="34180"/>
    <n v="0"/>
    <n v="0"/>
    <n v="34428"/>
    <n v="0"/>
    <n v="0"/>
    <m/>
    <m/>
    <n v="0"/>
    <n v="0"/>
    <m/>
    <m/>
    <m/>
    <m/>
    <m/>
    <m/>
    <m/>
    <m/>
    <m/>
    <m/>
    <m/>
    <m/>
  </r>
  <r>
    <x v="9"/>
    <s v="Montgomery Community College"/>
    <m/>
    <n v="199023"/>
    <x v="8"/>
    <n v="11721"/>
    <n v="12248"/>
    <n v="3051"/>
    <n v="3216"/>
    <n v="656"/>
    <n v="464"/>
    <n v="8002"/>
    <n v="12"/>
    <n v="0"/>
    <n v="8568"/>
    <n v="0"/>
    <n v="0"/>
    <m/>
    <m/>
    <n v="0"/>
    <n v="0"/>
    <m/>
    <m/>
    <m/>
    <m/>
    <m/>
    <m/>
    <m/>
    <m/>
    <m/>
    <m/>
    <m/>
    <m/>
  </r>
  <r>
    <x v="9"/>
    <s v="Nash Community College"/>
    <m/>
    <n v="199087"/>
    <x v="7"/>
    <n v="48224"/>
    <n v="44414"/>
    <n v="15573"/>
    <n v="12701"/>
    <n v="1402"/>
    <n v="780"/>
    <n v="31099"/>
    <n v="150"/>
    <n v="0"/>
    <n v="30933"/>
    <n v="0"/>
    <n v="0"/>
    <m/>
    <m/>
    <n v="0"/>
    <n v="0"/>
    <m/>
    <m/>
    <m/>
    <m/>
    <m/>
    <m/>
    <m/>
    <m/>
    <m/>
    <m/>
    <m/>
    <m/>
  </r>
  <r>
    <x v="9"/>
    <s v="Pamlico Community College"/>
    <m/>
    <n v="199263"/>
    <x v="8"/>
    <n v="8236"/>
    <n v="7684"/>
    <n v="440"/>
    <n v="517"/>
    <n v="2270"/>
    <n v="1845"/>
    <n v="5526"/>
    <n v="0"/>
    <n v="0"/>
    <n v="5322"/>
    <n v="0"/>
    <n v="0"/>
    <m/>
    <m/>
    <n v="0"/>
    <n v="0"/>
    <m/>
    <m/>
    <m/>
    <m/>
    <m/>
    <m/>
    <m/>
    <m/>
    <m/>
    <m/>
    <m/>
    <m/>
  </r>
  <r>
    <x v="9"/>
    <s v="Piedmont Community College"/>
    <m/>
    <n v="199324"/>
    <x v="8"/>
    <n v="17583.5"/>
    <n v="15841.5"/>
    <n v="6178.5"/>
    <n v="5241.5"/>
    <n v="576"/>
    <n v="471"/>
    <n v="9186"/>
    <n v="1625"/>
    <n v="18"/>
    <n v="9732"/>
    <n v="397"/>
    <n v="0"/>
    <m/>
    <m/>
    <n v="0"/>
    <n v="0"/>
    <m/>
    <m/>
    <m/>
    <m/>
    <m/>
    <m/>
    <m/>
    <m/>
    <m/>
    <m/>
    <m/>
    <m/>
  </r>
  <r>
    <x v="9"/>
    <s v="Pitt Community College"/>
    <m/>
    <n v="199333"/>
    <x v="6"/>
    <n v="142559"/>
    <n v="133350"/>
    <n v="41649"/>
    <n v="37525"/>
    <n v="4781"/>
    <n v="4614"/>
    <n v="96129"/>
    <n v="0"/>
    <n v="0"/>
    <n v="91211"/>
    <n v="0"/>
    <n v="0"/>
    <m/>
    <m/>
    <n v="0"/>
    <n v="0"/>
    <m/>
    <m/>
    <m/>
    <m/>
    <m/>
    <m/>
    <m/>
    <m/>
    <m/>
    <m/>
    <m/>
    <m/>
  </r>
  <r>
    <x v="9"/>
    <s v="Randolph Community College"/>
    <m/>
    <n v="199421"/>
    <x v="7"/>
    <n v="41434"/>
    <n v="42420"/>
    <n v="14130"/>
    <n v="14221"/>
    <n v="618"/>
    <n v="721"/>
    <n v="26148"/>
    <n v="87"/>
    <n v="451"/>
    <n v="27373"/>
    <n v="105"/>
    <n v="0"/>
    <m/>
    <m/>
    <n v="0"/>
    <n v="0"/>
    <m/>
    <m/>
    <m/>
    <m/>
    <m/>
    <m/>
    <m/>
    <m/>
    <m/>
    <m/>
    <m/>
    <m/>
  </r>
  <r>
    <x v="9"/>
    <s v="Richmond Community College"/>
    <m/>
    <n v="199449"/>
    <x v="7"/>
    <n v="39842"/>
    <n v="40588"/>
    <n v="10462"/>
    <n v="10758"/>
    <n v="860"/>
    <n v="1099"/>
    <n v="28520"/>
    <n v="0"/>
    <n v="0"/>
    <n v="28731"/>
    <n v="0"/>
    <n v="0"/>
    <m/>
    <m/>
    <n v="0"/>
    <n v="0"/>
    <m/>
    <m/>
    <m/>
    <m/>
    <m/>
    <m/>
    <m/>
    <m/>
    <m/>
    <m/>
    <m/>
    <m/>
  </r>
  <r>
    <x v="9"/>
    <s v="Roanoke-Chowan Community College"/>
    <m/>
    <n v="199467"/>
    <x v="8"/>
    <n v="11429"/>
    <n v="11303"/>
    <n v="3859"/>
    <n v="2703"/>
    <n v="218"/>
    <n v="139"/>
    <n v="7270"/>
    <n v="82"/>
    <n v="0"/>
    <n v="8345"/>
    <n v="116"/>
    <n v="0"/>
    <m/>
    <m/>
    <n v="0"/>
    <n v="0"/>
    <m/>
    <m/>
    <m/>
    <m/>
    <m/>
    <m/>
    <m/>
    <m/>
    <m/>
    <m/>
    <m/>
    <m/>
  </r>
  <r>
    <x v="9"/>
    <s v="Robeson Community College"/>
    <s v="Met the criteria for Two-Year 3 in 2016-17 and 2017-18."/>
    <n v="199476"/>
    <x v="7"/>
    <n v="27141"/>
    <n v="27281"/>
    <n v="12800"/>
    <n v="10786"/>
    <n v="321"/>
    <n v="326"/>
    <n v="14020"/>
    <n v="0"/>
    <n v="0"/>
    <n v="16169"/>
    <n v="0"/>
    <n v="0"/>
    <m/>
    <m/>
    <n v="0"/>
    <n v="0"/>
    <m/>
    <m/>
    <m/>
    <m/>
    <m/>
    <m/>
    <m/>
    <m/>
    <m/>
    <m/>
    <m/>
    <m/>
  </r>
  <r>
    <x v="9"/>
    <s v="Rockingham Community College "/>
    <m/>
    <n v="199485"/>
    <x v="8"/>
    <n v="22884"/>
    <n v="25079"/>
    <n v="11270"/>
    <n v="15879"/>
    <n v="77"/>
    <n v="33"/>
    <n v="11483"/>
    <n v="54"/>
    <n v="0"/>
    <n v="8993"/>
    <n v="154"/>
    <n v="20"/>
    <m/>
    <m/>
    <n v="0"/>
    <n v="0"/>
    <m/>
    <m/>
    <m/>
    <m/>
    <m/>
    <m/>
    <m/>
    <m/>
    <m/>
    <m/>
    <m/>
    <m/>
  </r>
  <r>
    <x v="9"/>
    <s v="Rowan-Cabarrus Community College"/>
    <s v="Met the criteria for Two-Year 2 in 2016-17 and 2017-18."/>
    <n v="199494"/>
    <x v="6"/>
    <n v="82476"/>
    <n v="84324"/>
    <n v="28714"/>
    <n v="27068"/>
    <n v="3390"/>
    <n v="3063"/>
    <n v="50372"/>
    <n v="0"/>
    <n v="0"/>
    <n v="54193"/>
    <n v="0"/>
    <n v="0"/>
    <m/>
    <m/>
    <n v="0"/>
    <n v="0"/>
    <m/>
    <m/>
    <m/>
    <m/>
    <m/>
    <m/>
    <m/>
    <m/>
    <m/>
    <m/>
    <m/>
    <m/>
  </r>
  <r>
    <x v="9"/>
    <s v="Sampson Community College"/>
    <m/>
    <n v="199625"/>
    <x v="8"/>
    <n v="21107"/>
    <n v="22633"/>
    <n v="7802"/>
    <n v="7161"/>
    <n v="0"/>
    <n v="177"/>
    <n v="13248"/>
    <n v="57"/>
    <n v="0"/>
    <n v="15295"/>
    <n v="0"/>
    <n v="0"/>
    <m/>
    <m/>
    <n v="0"/>
    <n v="0"/>
    <m/>
    <m/>
    <m/>
    <m/>
    <m/>
    <m/>
    <m/>
    <m/>
    <m/>
    <m/>
    <m/>
    <m/>
  </r>
  <r>
    <x v="9"/>
    <s v="Sandhills Community College "/>
    <m/>
    <n v="199634"/>
    <x v="7"/>
    <n v="58671"/>
    <n v="60626"/>
    <n v="18678"/>
    <n v="17096"/>
    <n v="1552"/>
    <n v="1560"/>
    <n v="38441"/>
    <n v="0"/>
    <n v="0"/>
    <n v="41970"/>
    <n v="0"/>
    <n v="0"/>
    <m/>
    <m/>
    <n v="0"/>
    <n v="0"/>
    <m/>
    <m/>
    <m/>
    <m/>
    <m/>
    <m/>
    <m/>
    <m/>
    <m/>
    <m/>
    <m/>
    <m/>
  </r>
  <r>
    <x v="9"/>
    <s v="South Piedmont Community College"/>
    <s v="Met the criteria for Two-Year 2 in 2016-17 and 2017-18."/>
    <n v="197850"/>
    <x v="8"/>
    <n v="36289"/>
    <n v="39018"/>
    <n v="7116"/>
    <n v="6875"/>
    <n v="681"/>
    <n v="669"/>
    <n v="28057"/>
    <n v="435"/>
    <n v="0"/>
    <n v="31474"/>
    <n v="0"/>
    <n v="0"/>
    <m/>
    <m/>
    <n v="0"/>
    <n v="0"/>
    <m/>
    <m/>
    <m/>
    <m/>
    <m/>
    <m/>
    <m/>
    <m/>
    <m/>
    <m/>
    <m/>
    <m/>
  </r>
  <r>
    <x v="9"/>
    <s v="Southeastern Community College "/>
    <m/>
    <n v="199722"/>
    <x v="8"/>
    <n v="22329"/>
    <n v="22767"/>
    <n v="7174"/>
    <n v="7116"/>
    <n v="274"/>
    <n v="149"/>
    <n v="14332"/>
    <n v="549"/>
    <n v="0"/>
    <n v="15272"/>
    <n v="230"/>
    <n v="0"/>
    <m/>
    <m/>
    <n v="0"/>
    <n v="0"/>
    <m/>
    <m/>
    <m/>
    <m/>
    <m/>
    <m/>
    <m/>
    <m/>
    <m/>
    <m/>
    <m/>
    <m/>
  </r>
  <r>
    <x v="9"/>
    <s v="Southwestern Community College "/>
    <s v="Met the criteria for Two-Year 2 in 2016-17 and 2017-18."/>
    <n v="199731"/>
    <x v="8"/>
    <n v="34754"/>
    <n v="34028"/>
    <n v="13130"/>
    <n v="12121"/>
    <n v="2113"/>
    <n v="2798"/>
    <n v="19396"/>
    <n v="115"/>
    <n v="0"/>
    <n v="19005"/>
    <n v="104"/>
    <n v="0"/>
    <m/>
    <m/>
    <n v="0"/>
    <n v="0"/>
    <m/>
    <m/>
    <m/>
    <m/>
    <m/>
    <m/>
    <m/>
    <m/>
    <m/>
    <m/>
    <m/>
    <m/>
  </r>
  <r>
    <x v="9"/>
    <s v="Stanly Community College"/>
    <m/>
    <n v="199740"/>
    <x v="7"/>
    <n v="43560"/>
    <n v="42443"/>
    <n v="6879"/>
    <n v="6565"/>
    <n v="2305"/>
    <n v="2009"/>
    <n v="34376"/>
    <n v="0"/>
    <n v="0"/>
    <n v="33869"/>
    <n v="0"/>
    <n v="0"/>
    <m/>
    <m/>
    <n v="0"/>
    <n v="0"/>
    <m/>
    <m/>
    <m/>
    <m/>
    <m/>
    <m/>
    <m/>
    <m/>
    <m/>
    <m/>
    <m/>
    <m/>
  </r>
  <r>
    <x v="9"/>
    <s v="Surry Community College "/>
    <m/>
    <n v="199768"/>
    <x v="7"/>
    <n v="34400"/>
    <n v="31902"/>
    <n v="15394"/>
    <n v="12096"/>
    <n v="73"/>
    <n v="230"/>
    <n v="18376"/>
    <n v="557"/>
    <n v="0"/>
    <n v="19213"/>
    <n v="363"/>
    <n v="0"/>
    <m/>
    <m/>
    <n v="0"/>
    <n v="0"/>
    <m/>
    <m/>
    <m/>
    <m/>
    <m/>
    <m/>
    <m/>
    <m/>
    <m/>
    <m/>
    <m/>
    <m/>
  </r>
  <r>
    <x v="9"/>
    <s v="Tri-County Community College "/>
    <m/>
    <n v="199795"/>
    <x v="8"/>
    <n v="19729"/>
    <n v="17993"/>
    <n v="3455"/>
    <n v="3124"/>
    <n v="582"/>
    <n v="575"/>
    <n v="15573"/>
    <n v="119"/>
    <n v="0"/>
    <n v="14245"/>
    <n v="49"/>
    <n v="0"/>
    <m/>
    <m/>
    <n v="0"/>
    <n v="0"/>
    <m/>
    <m/>
    <m/>
    <m/>
    <m/>
    <m/>
    <m/>
    <m/>
    <m/>
    <m/>
    <m/>
    <m/>
  </r>
  <r>
    <x v="9"/>
    <s v="Vance-Granville Community College "/>
    <m/>
    <n v="199838"/>
    <x v="7"/>
    <n v="43856.5"/>
    <n v="44050"/>
    <n v="14386"/>
    <n v="12950"/>
    <n v="762"/>
    <n v="899"/>
    <n v="27726.5"/>
    <n v="982"/>
    <n v="0"/>
    <n v="29411"/>
    <n v="790"/>
    <n v="0"/>
    <m/>
    <m/>
    <n v="0"/>
    <n v="0"/>
    <m/>
    <m/>
    <m/>
    <m/>
    <m/>
    <m/>
    <m/>
    <m/>
    <m/>
    <m/>
    <m/>
    <m/>
  </r>
  <r>
    <x v="9"/>
    <s v="Wake Technical Community College"/>
    <m/>
    <n v="199856"/>
    <x v="6"/>
    <n v="315913"/>
    <n v="324796"/>
    <n v="140120"/>
    <n v="138285"/>
    <n v="3210"/>
    <n v="2672"/>
    <n v="172583"/>
    <n v="0"/>
    <n v="0"/>
    <n v="183839"/>
    <n v="0"/>
    <n v="0"/>
    <m/>
    <m/>
    <n v="0"/>
    <n v="0"/>
    <m/>
    <m/>
    <m/>
    <m/>
    <m/>
    <m/>
    <m/>
    <m/>
    <m/>
    <m/>
    <m/>
    <m/>
  </r>
  <r>
    <x v="9"/>
    <s v="Wayne Community College"/>
    <m/>
    <n v="199892"/>
    <x v="7"/>
    <n v="55184"/>
    <n v="52753"/>
    <n v="18150"/>
    <n v="15998"/>
    <n v="527"/>
    <n v="577"/>
    <n v="36507"/>
    <n v="0"/>
    <n v="0"/>
    <n v="36178"/>
    <n v="0"/>
    <n v="0"/>
    <m/>
    <m/>
    <n v="0"/>
    <n v="0"/>
    <m/>
    <m/>
    <m/>
    <m/>
    <m/>
    <m/>
    <m/>
    <m/>
    <m/>
    <m/>
    <m/>
    <m/>
  </r>
  <r>
    <x v="9"/>
    <s v="Western Piedmont Community College "/>
    <s v="Reclassified: Met the criteria for Two-Year 3 in 2015-16, 2016-17, and 2017-18."/>
    <n v="199908"/>
    <x v="8"/>
    <n v="27492"/>
    <n v="27152"/>
    <n v="8385"/>
    <n v="11011"/>
    <n v="404"/>
    <n v="1293"/>
    <n v="18703"/>
    <n v="0"/>
    <n v="0"/>
    <n v="14848"/>
    <n v="0"/>
    <n v="0"/>
    <m/>
    <m/>
    <n v="0"/>
    <n v="0"/>
    <m/>
    <m/>
    <m/>
    <m/>
    <m/>
    <m/>
    <m/>
    <m/>
    <m/>
    <m/>
    <m/>
    <m/>
  </r>
  <r>
    <x v="9"/>
    <s v="Wilkes Community College "/>
    <m/>
    <n v="199926"/>
    <x v="7"/>
    <n v="36378"/>
    <n v="36772"/>
    <n v="16423"/>
    <n v="15848"/>
    <n v="1698"/>
    <n v="2695"/>
    <n v="16011"/>
    <n v="2246"/>
    <n v="0"/>
    <n v="17037"/>
    <n v="1192"/>
    <n v="0"/>
    <m/>
    <m/>
    <n v="0"/>
    <n v="0"/>
    <m/>
    <m/>
    <m/>
    <m/>
    <m/>
    <m/>
    <m/>
    <m/>
    <m/>
    <m/>
    <m/>
    <m/>
  </r>
  <r>
    <x v="9"/>
    <s v="Wilson Community College"/>
    <m/>
    <n v="199953"/>
    <x v="8"/>
    <n v="30911"/>
    <n v="28962"/>
    <n v="7603"/>
    <n v="6735"/>
    <n v="152"/>
    <n v="312"/>
    <n v="23156"/>
    <n v="0"/>
    <n v="0"/>
    <n v="21915"/>
    <n v="0"/>
    <n v="0"/>
    <m/>
    <m/>
    <n v="0"/>
    <n v="0"/>
    <m/>
    <m/>
    <m/>
    <m/>
    <m/>
    <m/>
    <m/>
    <m/>
    <m/>
    <m/>
    <m/>
    <m/>
  </r>
  <r>
    <x v="10"/>
    <s v="Oklahoma State University Main Campus"/>
    <m/>
    <n v="207388"/>
    <x v="0"/>
    <n v="601245"/>
    <n v="582490"/>
    <n v="514350"/>
    <n v="494932"/>
    <n v="6288"/>
    <m/>
    <n v="79398"/>
    <n v="0"/>
    <n v="345"/>
    <n v="87558"/>
    <n v="0"/>
    <n v="0"/>
    <n v="864"/>
    <n v="0"/>
    <n v="102754"/>
    <n v="74655"/>
    <n v="85372"/>
    <n v="58423"/>
    <n v="1999"/>
    <n v="0"/>
    <n v="14188"/>
    <n v="0"/>
    <n v="393"/>
    <n v="16232"/>
    <m/>
    <m/>
    <n v="802"/>
    <n v="0"/>
  </r>
  <r>
    <x v="10"/>
    <s v="University of Oklahoma Norman Campus"/>
    <m/>
    <n v="207500"/>
    <x v="0"/>
    <n v="598013"/>
    <n v="610804"/>
    <n v="520604"/>
    <n v="529923"/>
    <n v="4573"/>
    <n v="7329"/>
    <n v="70223"/>
    <n v="165"/>
    <n v="2448"/>
    <n v="71511"/>
    <n v="99"/>
    <n v="1942"/>
    <n v="0"/>
    <n v="0"/>
    <n v="132854"/>
    <n v="139389"/>
    <n v="94034"/>
    <n v="93255"/>
    <n v="15725"/>
    <n v="17315"/>
    <n v="18991"/>
    <n v="705"/>
    <n v="3399"/>
    <n v="24673"/>
    <n v="387"/>
    <n v="3759"/>
    <n v="0"/>
    <n v="0"/>
  </r>
  <r>
    <x v="10"/>
    <s v="Northeastern State University"/>
    <m/>
    <n v="207263"/>
    <x v="2"/>
    <n v="168077"/>
    <n v="167161"/>
    <n v="116345"/>
    <n v="108585"/>
    <n v="210"/>
    <n v="60"/>
    <n v="50981"/>
    <n v="541"/>
    <n v="0"/>
    <n v="56631"/>
    <n v="1885"/>
    <n v="0"/>
    <n v="0"/>
    <n v="0"/>
    <n v="21406"/>
    <n v="19836"/>
    <n v="15938"/>
    <n v="13906"/>
    <n v="0"/>
    <n v="0"/>
    <n v="4944"/>
    <n v="524"/>
    <n v="0"/>
    <n v="5475"/>
    <n v="455"/>
    <n v="0"/>
    <m/>
    <n v="0"/>
  </r>
  <r>
    <x v="10"/>
    <s v="University of Central Oklahoma"/>
    <m/>
    <n v="206941"/>
    <x v="2"/>
    <n v="361562"/>
    <n v="353704"/>
    <n v="289794"/>
    <n v="283821"/>
    <n v="8471"/>
    <n v="3678"/>
    <n v="58785"/>
    <n v="400"/>
    <n v="4112"/>
    <n v="61430"/>
    <n v="463"/>
    <n v="3929"/>
    <m/>
    <n v="383"/>
    <n v="25848"/>
    <n v="24556"/>
    <n v="22244"/>
    <n v="20821"/>
    <n v="229"/>
    <n v="258"/>
    <n v="1758"/>
    <n v="3"/>
    <n v="1614"/>
    <n v="1492"/>
    <n v="12"/>
    <n v="1973"/>
    <m/>
    <n v="0"/>
  </r>
  <r>
    <x v="10"/>
    <s v="Southeastern Oklahoma State University "/>
    <m/>
    <n v="207847"/>
    <x v="3"/>
    <n v="81161"/>
    <n v="79180"/>
    <n v="50118"/>
    <n v="47241"/>
    <n v="772"/>
    <n v="1893"/>
    <n v="27812"/>
    <n v="2459"/>
    <n v="0"/>
    <n v="27833"/>
    <n v="2213"/>
    <n v="0"/>
    <m/>
    <n v="0"/>
    <n v="8588"/>
    <n v="12524"/>
    <n v="1697"/>
    <n v="845"/>
    <n v="1245"/>
    <n v="1539"/>
    <n v="5427"/>
    <n v="219"/>
    <n v="0"/>
    <n v="10083"/>
    <n v="57"/>
    <n v="0"/>
    <m/>
    <n v="0"/>
  </r>
  <r>
    <x v="10"/>
    <s v="Cameron University "/>
    <m/>
    <n v="206914"/>
    <x v="4"/>
    <n v="108770"/>
    <n v="101111"/>
    <n v="78864"/>
    <n v="69479"/>
    <n v="942"/>
    <n v="1228"/>
    <n v="19905"/>
    <n v="9059"/>
    <n v="0"/>
    <n v="20822"/>
    <n v="9582"/>
    <n v="0"/>
    <m/>
    <n v="0"/>
    <n v="6245"/>
    <n v="6010"/>
    <n v="2603"/>
    <n v="2167"/>
    <m/>
    <n v="0"/>
    <n v="3246"/>
    <n v="396"/>
    <n v="0"/>
    <n v="3321"/>
    <n v="522"/>
    <n v="0"/>
    <m/>
    <n v="0"/>
  </r>
  <r>
    <x v="10"/>
    <s v="East Central University "/>
    <m/>
    <n v="207041"/>
    <x v="4"/>
    <n v="109038"/>
    <n v="85261"/>
    <n v="89427"/>
    <n v="66058"/>
    <n v="1952"/>
    <n v="1798"/>
    <n v="12578"/>
    <n v="734"/>
    <n v="4347"/>
    <n v="14250"/>
    <n v="69"/>
    <n v="3086"/>
    <m/>
    <n v="0"/>
    <n v="13511"/>
    <n v="10913"/>
    <n v="3679"/>
    <n v="3468"/>
    <n v="121"/>
    <n v="0"/>
    <n v="8219"/>
    <n v="636"/>
    <n v="856"/>
    <n v="6573"/>
    <n v="173"/>
    <n v="699"/>
    <m/>
    <n v="0"/>
  </r>
  <r>
    <x v="10"/>
    <s v="Langston University"/>
    <m/>
    <n v="207209"/>
    <x v="4"/>
    <n v="57164"/>
    <n v="57408"/>
    <n v="54113"/>
    <n v="50993"/>
    <n v="0"/>
    <n v="0"/>
    <n v="2999"/>
    <n v="52"/>
    <n v="0"/>
    <n v="6415"/>
    <n v="0"/>
    <n v="0"/>
    <m/>
    <n v="0"/>
    <n v="6980"/>
    <n v="5908"/>
    <n v="5438"/>
    <n v="5611"/>
    <m/>
    <m/>
    <n v="1437"/>
    <n v="105"/>
    <n v="0"/>
    <n v="297"/>
    <n v="0"/>
    <n v="0"/>
    <m/>
    <n v="0"/>
  </r>
  <r>
    <x v="10"/>
    <s v="Northwestern Oklahoma State University "/>
    <m/>
    <n v="207306"/>
    <x v="4"/>
    <n v="50722"/>
    <n v="48846"/>
    <n v="34761"/>
    <n v="32892"/>
    <n v="21"/>
    <n v="24"/>
    <n v="7852"/>
    <n v="7353"/>
    <n v="735"/>
    <n v="8532"/>
    <n v="7185"/>
    <n v="213"/>
    <m/>
    <n v="0"/>
    <n v="2909"/>
    <n v="2663"/>
    <n v="1035"/>
    <n v="999"/>
    <n v="0"/>
    <n v="6"/>
    <n v="576"/>
    <n v="1103"/>
    <n v="195"/>
    <n v="842"/>
    <n v="544"/>
    <n v="272"/>
    <m/>
    <n v="0"/>
  </r>
  <r>
    <x v="10"/>
    <s v="Southwestern Oklahoma State University"/>
    <s v="Reclassified: Met the criteria for Four-Year 4 in 2015-16, 2016-17, and 2017-18."/>
    <n v="207865"/>
    <x v="3"/>
    <n v="123835"/>
    <n v="126266"/>
    <n v="97998"/>
    <n v="96056"/>
    <n v="812"/>
    <n v="1390"/>
    <n v="23072"/>
    <n v="1953"/>
    <n v="0"/>
    <n v="27736"/>
    <n v="1084"/>
    <n v="0"/>
    <m/>
    <n v="0"/>
    <n v="13697"/>
    <n v="14123"/>
    <n v="7429"/>
    <n v="7421"/>
    <n v="15"/>
    <n v="30"/>
    <n v="5549"/>
    <n v="703"/>
    <n v="1"/>
    <n v="6627"/>
    <n v="45"/>
    <n v="0"/>
    <m/>
    <n v="0"/>
  </r>
  <r>
    <x v="10"/>
    <s v="Oklahoma Panhandle State University "/>
    <m/>
    <n v="207351"/>
    <x v="5"/>
    <n v="31044"/>
    <n v="29451"/>
    <n v="23743"/>
    <n v="22303"/>
    <n v="0"/>
    <n v="0"/>
    <n v="7080"/>
    <n v="162"/>
    <n v="59"/>
    <n v="7079"/>
    <n v="69"/>
    <n v="0"/>
    <m/>
    <n v="0"/>
    <n v="0"/>
    <n v="0"/>
    <n v="0"/>
    <n v="0"/>
    <m/>
    <n v="0"/>
    <m/>
    <m/>
    <m/>
    <n v="0"/>
    <n v="0"/>
    <n v="0"/>
    <m/>
    <n v="0"/>
  </r>
  <r>
    <x v="10"/>
    <s v="Rogers State University"/>
    <m/>
    <n v="207661"/>
    <x v="5"/>
    <n v="86878"/>
    <n v="83657"/>
    <n v="61158"/>
    <n v="58919"/>
    <n v="0"/>
    <n v="0"/>
    <n v="23782"/>
    <n v="1938"/>
    <n v="0"/>
    <n v="23020"/>
    <n v="1656"/>
    <n v="6"/>
    <m/>
    <n v="56"/>
    <n v="474"/>
    <n v="504"/>
    <n v="474"/>
    <n v="459"/>
    <m/>
    <n v="0"/>
    <m/>
    <m/>
    <m/>
    <n v="45"/>
    <n v="0"/>
    <n v="0"/>
    <m/>
    <n v="0"/>
  </r>
  <r>
    <x v="10"/>
    <s v="University of Science and Arts of Oklahoma"/>
    <m/>
    <n v="207722"/>
    <x v="5"/>
    <n v="25599"/>
    <n v="25677"/>
    <n v="25599"/>
    <n v="25638"/>
    <n v="0"/>
    <n v="39"/>
    <n v="0"/>
    <n v="0"/>
    <n v="0"/>
    <n v="0"/>
    <n v="0"/>
    <n v="0"/>
    <m/>
    <n v="0"/>
    <n v="0"/>
    <n v="0"/>
    <m/>
    <m/>
    <m/>
    <m/>
    <m/>
    <m/>
    <m/>
    <m/>
    <m/>
    <m/>
    <m/>
    <m/>
  </r>
  <r>
    <x v="10"/>
    <s v="Oklahoma State University Technical Branch-Okmulgee "/>
    <m/>
    <n v="207564"/>
    <x v="13"/>
    <n v="72696"/>
    <n v="70812"/>
    <n v="58379"/>
    <n v="54406"/>
    <n v="766"/>
    <n v="0"/>
    <n v="12841"/>
    <n v="0"/>
    <n v="710"/>
    <n v="13569"/>
    <n v="0"/>
    <n v="2837"/>
    <m/>
    <n v="0"/>
    <n v="0"/>
    <n v="0"/>
    <m/>
    <m/>
    <m/>
    <m/>
    <m/>
    <m/>
    <m/>
    <m/>
    <m/>
    <m/>
    <m/>
    <m/>
  </r>
  <r>
    <x v="10"/>
    <s v="Oklahoma State University-Oklahoma City"/>
    <m/>
    <n v="207397"/>
    <x v="13"/>
    <n v="128225"/>
    <n v="133945"/>
    <n v="75121"/>
    <n v="78488"/>
    <n v="294"/>
    <n v="10"/>
    <n v="52129"/>
    <n v="672"/>
    <n v="0"/>
    <n v="55447"/>
    <n v="0"/>
    <n v="0"/>
    <n v="9"/>
    <n v="0"/>
    <n v="0"/>
    <n v="0"/>
    <m/>
    <m/>
    <m/>
    <m/>
    <m/>
    <m/>
    <m/>
    <m/>
    <m/>
    <m/>
    <m/>
    <m/>
  </r>
  <r>
    <x v="10"/>
    <s v="Oklahoma City Community College "/>
    <m/>
    <n v="207449"/>
    <x v="6"/>
    <n v="248468"/>
    <n v="237222"/>
    <n v="175107"/>
    <n v="167309"/>
    <n v="4840"/>
    <n v="2030"/>
    <n v="67913"/>
    <n v="0"/>
    <n v="608"/>
    <n v="66704"/>
    <n v="0"/>
    <n v="1179"/>
    <m/>
    <n v="0"/>
    <n v="0"/>
    <n v="0"/>
    <m/>
    <m/>
    <m/>
    <m/>
    <m/>
    <m/>
    <m/>
    <m/>
    <m/>
    <m/>
    <m/>
    <m/>
  </r>
  <r>
    <x v="10"/>
    <s v="Tulsa Community College "/>
    <m/>
    <n v="207935"/>
    <x v="6"/>
    <n v="315213"/>
    <n v="303366"/>
    <n v="195192"/>
    <n v="194052"/>
    <n v="18413"/>
    <n v="19068"/>
    <n v="101608"/>
    <n v="0"/>
    <n v="0"/>
    <n v="90246"/>
    <n v="0"/>
    <n v="0"/>
    <n v="0"/>
    <n v="0"/>
    <n v="0"/>
    <n v="0"/>
    <m/>
    <m/>
    <m/>
    <m/>
    <m/>
    <m/>
    <m/>
    <m/>
    <m/>
    <m/>
    <m/>
    <m/>
  </r>
  <r>
    <x v="10"/>
    <s v="Northern Oklahoma College "/>
    <m/>
    <n v="207281"/>
    <x v="7"/>
    <n v="90636"/>
    <n v="82209"/>
    <n v="64911"/>
    <n v="57523"/>
    <n v="1360"/>
    <n v="414"/>
    <n v="11605"/>
    <n v="12760"/>
    <n v="0"/>
    <n v="11996"/>
    <n v="12276"/>
    <n v="0"/>
    <m/>
    <n v="0"/>
    <n v="0"/>
    <n v="0"/>
    <m/>
    <m/>
    <m/>
    <m/>
    <m/>
    <m/>
    <m/>
    <m/>
    <m/>
    <m/>
    <m/>
    <m/>
  </r>
  <r>
    <x v="10"/>
    <s v="Rose State College "/>
    <m/>
    <n v="207670"/>
    <x v="7"/>
    <n v="131293"/>
    <n v="130302"/>
    <n v="91926"/>
    <n v="91464"/>
    <n v="413"/>
    <n v="388"/>
    <n v="36520"/>
    <n v="996"/>
    <n v="1438"/>
    <n v="37430"/>
    <n v="1020"/>
    <n v="0"/>
    <m/>
    <n v="0"/>
    <n v="0"/>
    <n v="0"/>
    <m/>
    <m/>
    <m/>
    <m/>
    <m/>
    <m/>
    <m/>
    <m/>
    <m/>
    <m/>
    <m/>
    <m/>
  </r>
  <r>
    <x v="10"/>
    <s v="Carl Albert State College"/>
    <m/>
    <n v="206923"/>
    <x v="8"/>
    <n v="49325"/>
    <n v="45775"/>
    <n v="47820"/>
    <n v="44161"/>
    <n v="0"/>
    <n v="0"/>
    <n v="0"/>
    <n v="1505"/>
    <n v="0"/>
    <n v="0"/>
    <n v="1614"/>
    <n v="0"/>
    <m/>
    <n v="0"/>
    <n v="0"/>
    <n v="0"/>
    <m/>
    <m/>
    <m/>
    <m/>
    <m/>
    <m/>
    <m/>
    <m/>
    <m/>
    <m/>
    <m/>
    <m/>
  </r>
  <r>
    <x v="10"/>
    <s v="Connors State College "/>
    <m/>
    <n v="206996"/>
    <x v="8"/>
    <n v="51190"/>
    <n v="51380"/>
    <n v="28187"/>
    <n v="22461"/>
    <n v="2641"/>
    <n v="5102"/>
    <n v="19328"/>
    <n v="1034"/>
    <n v="0"/>
    <n v="21511"/>
    <n v="2306"/>
    <n v="0"/>
    <m/>
    <n v="0"/>
    <n v="0"/>
    <n v="0"/>
    <m/>
    <m/>
    <m/>
    <m/>
    <m/>
    <m/>
    <m/>
    <m/>
    <m/>
    <m/>
    <m/>
    <m/>
  </r>
  <r>
    <x v="10"/>
    <s v="Eastern Oklahoma State College "/>
    <m/>
    <n v="207050"/>
    <x v="8"/>
    <n v="34302"/>
    <n v="25541"/>
    <n v="22978"/>
    <n v="15730"/>
    <n v="729"/>
    <n v="309"/>
    <n v="8710"/>
    <n v="1870"/>
    <n v="15"/>
    <n v="8074"/>
    <n v="1428"/>
    <n v="0"/>
    <m/>
    <n v="0"/>
    <n v="0"/>
    <n v="0"/>
    <m/>
    <m/>
    <m/>
    <m/>
    <m/>
    <m/>
    <m/>
    <m/>
    <m/>
    <m/>
    <m/>
    <m/>
  </r>
  <r>
    <x v="10"/>
    <s v="Murray State College "/>
    <m/>
    <n v="207236"/>
    <x v="8"/>
    <n v="47514"/>
    <n v="46100"/>
    <n v="28755"/>
    <n v="26710"/>
    <n v="423"/>
    <n v="498"/>
    <n v="14864"/>
    <n v="3386"/>
    <n v="86"/>
    <n v="15493"/>
    <n v="3249"/>
    <n v="150"/>
    <m/>
    <n v="0"/>
    <n v="0"/>
    <n v="0"/>
    <m/>
    <m/>
    <m/>
    <m/>
    <m/>
    <m/>
    <m/>
    <m/>
    <m/>
    <m/>
    <m/>
    <m/>
  </r>
  <r>
    <x v="10"/>
    <s v="Northeastern Oklahoma A &amp; M College "/>
    <m/>
    <n v="207290"/>
    <x v="8"/>
    <n v="52536"/>
    <n v="52849"/>
    <n v="43710"/>
    <n v="43341"/>
    <n v="477"/>
    <n v="0"/>
    <n v="8034"/>
    <n v="315"/>
    <n v="0"/>
    <n v="9265"/>
    <n v="243"/>
    <n v="0"/>
    <m/>
    <n v="0"/>
    <n v="0"/>
    <n v="0"/>
    <m/>
    <m/>
    <m/>
    <m/>
    <m/>
    <m/>
    <m/>
    <m/>
    <m/>
    <m/>
    <m/>
    <m/>
  </r>
  <r>
    <x v="10"/>
    <s v="Redlands Community College"/>
    <m/>
    <n v="207069"/>
    <x v="8"/>
    <n v="39105"/>
    <n v="35551"/>
    <n v="19575"/>
    <n v="14838"/>
    <n v="4612"/>
    <n v="3342"/>
    <n v="13262"/>
    <n v="1656"/>
    <n v="0"/>
    <n v="16009"/>
    <n v="1362"/>
    <n v="0"/>
    <m/>
    <n v="0"/>
    <n v="0"/>
    <n v="0"/>
    <m/>
    <m/>
    <m/>
    <m/>
    <m/>
    <m/>
    <m/>
    <m/>
    <m/>
    <m/>
    <m/>
    <m/>
  </r>
  <r>
    <x v="10"/>
    <s v="Seminole State College "/>
    <m/>
    <n v="207740"/>
    <x v="8"/>
    <n v="38608"/>
    <n v="36115"/>
    <n v="29569"/>
    <n v="27871"/>
    <n v="1651"/>
    <n v="1075"/>
    <n v="7094"/>
    <n v="294"/>
    <n v="0"/>
    <n v="6776"/>
    <n v="393"/>
    <n v="0"/>
    <m/>
    <n v="0"/>
    <n v="0"/>
    <n v="0"/>
    <m/>
    <m/>
    <m/>
    <m/>
    <m/>
    <m/>
    <m/>
    <m/>
    <m/>
    <m/>
    <m/>
    <m/>
  </r>
  <r>
    <x v="10"/>
    <s v="Western Oklahoma State College "/>
    <m/>
    <n v="208035"/>
    <x v="8"/>
    <n v="28588"/>
    <n v="27561"/>
    <n v="16882"/>
    <n v="16433"/>
    <n v="1077"/>
    <n v="688"/>
    <n v="9075"/>
    <n v="1554"/>
    <n v="0"/>
    <n v="8631"/>
    <n v="1809"/>
    <n v="0"/>
    <m/>
    <n v="0"/>
    <n v="0"/>
    <n v="0"/>
    <m/>
    <m/>
    <m/>
    <m/>
    <m/>
    <m/>
    <m/>
    <m/>
    <m/>
    <m/>
    <m/>
    <m/>
  </r>
  <r>
    <x v="10"/>
    <s v="Canadian Valley Technology Center                 "/>
    <m/>
    <n v="365374"/>
    <x v="9"/>
    <m/>
    <m/>
    <m/>
    <m/>
    <m/>
    <m/>
    <m/>
    <m/>
    <m/>
    <m/>
    <m/>
    <m/>
    <m/>
    <m/>
    <m/>
    <m/>
    <m/>
    <m/>
    <m/>
    <m/>
    <m/>
    <m/>
    <m/>
    <m/>
    <m/>
    <m/>
    <m/>
    <m/>
  </r>
  <r>
    <x v="11"/>
    <s v="Clemson University"/>
    <m/>
    <n v="217882"/>
    <x v="0"/>
    <n v="577497"/>
    <n v="589493"/>
    <n v="522723"/>
    <n v="527601"/>
    <n v="12054"/>
    <n v="10460"/>
    <n v="42720"/>
    <m/>
    <m/>
    <n v="51432"/>
    <m/>
    <m/>
    <m/>
    <m/>
    <n v="93125"/>
    <n v="89753"/>
    <n v="51134"/>
    <n v="45884"/>
    <n v="27911"/>
    <n v="28398"/>
    <n v="14080"/>
    <m/>
    <m/>
    <n v="15471"/>
    <m/>
    <m/>
    <m/>
    <m/>
  </r>
  <r>
    <x v="11"/>
    <s v="University of South Carolina-Columbia"/>
    <m/>
    <n v="218663"/>
    <x v="0"/>
    <n v="760232"/>
    <n v="778537"/>
    <n v="707798"/>
    <n v="710187"/>
    <m/>
    <m/>
    <n v="52434"/>
    <m/>
    <m/>
    <n v="68338"/>
    <n v="12"/>
    <m/>
    <m/>
    <m/>
    <n v="179578"/>
    <n v="183423"/>
    <n v="133311"/>
    <n v="140202"/>
    <m/>
    <m/>
    <n v="37883"/>
    <n v="8198"/>
    <n v="186"/>
    <n v="37473"/>
    <n v="5748"/>
    <m/>
    <m/>
    <m/>
  </r>
  <r>
    <x v="11"/>
    <s v="College of Charleston"/>
    <m/>
    <n v="217819"/>
    <x v="2"/>
    <n v="302309"/>
    <n v="298165"/>
    <n v="285154"/>
    <n v="275483"/>
    <n v="4407"/>
    <n v="4017"/>
    <n v="12748"/>
    <m/>
    <m/>
    <n v="18665"/>
    <m/>
    <m/>
    <m/>
    <m/>
    <n v="14412"/>
    <n v="13834"/>
    <n v="8278"/>
    <n v="7132"/>
    <n v="3468"/>
    <n v="2867"/>
    <n v="2666"/>
    <m/>
    <m/>
    <n v="3835"/>
    <m/>
    <m/>
    <m/>
    <m/>
  </r>
  <r>
    <x v="11"/>
    <s v="The Citadel, the Military College of South Carolina "/>
    <m/>
    <n v="217864"/>
    <x v="2"/>
    <n v="95795"/>
    <n v="96854"/>
    <n v="92451"/>
    <n v="92772"/>
    <n v="180"/>
    <m/>
    <n v="3164"/>
    <m/>
    <m/>
    <n v="4082"/>
    <m/>
    <m/>
    <m/>
    <m/>
    <n v="13735"/>
    <n v="15084"/>
    <n v="8790"/>
    <n v="7781"/>
    <n v="1767"/>
    <n v="1665"/>
    <n v="3178"/>
    <m/>
    <m/>
    <n v="5638"/>
    <m/>
    <m/>
    <m/>
    <m/>
  </r>
  <r>
    <x v="11"/>
    <s v="Winthrop University "/>
    <m/>
    <n v="218964"/>
    <x v="2"/>
    <n v="137771"/>
    <n v="147023"/>
    <n v="125437"/>
    <n v="129573"/>
    <n v="1699"/>
    <n v="2719"/>
    <n v="10635"/>
    <m/>
    <m/>
    <n v="14731"/>
    <m/>
    <m/>
    <m/>
    <m/>
    <n v="23142"/>
    <n v="13607"/>
    <n v="20269"/>
    <n v="10383"/>
    <n v="1714"/>
    <n v="1403"/>
    <n v="1159"/>
    <m/>
    <m/>
    <n v="1821"/>
    <m/>
    <m/>
    <m/>
    <m/>
  </r>
  <r>
    <x v="11"/>
    <s v="Coastal Carolina University"/>
    <s v="Met the criteria for Four-Year 4 in 2016-17 and 2017-18."/>
    <n v="218724"/>
    <x v="4"/>
    <n v="286821"/>
    <n v="290577"/>
    <n v="245628"/>
    <n v="244617"/>
    <n v="2035"/>
    <n v="2493"/>
    <n v="39158"/>
    <m/>
    <m/>
    <n v="43467"/>
    <m/>
    <m/>
    <m/>
    <m/>
    <n v="13699"/>
    <n v="14068"/>
    <n v="5322"/>
    <n v="5145"/>
    <n v="1153"/>
    <n v="1365"/>
    <n v="7224"/>
    <m/>
    <m/>
    <n v="7558"/>
    <m/>
    <m/>
    <m/>
    <m/>
  </r>
  <r>
    <x v="11"/>
    <s v="Francis Marion University "/>
    <m/>
    <n v="218061"/>
    <x v="4"/>
    <n v="95137"/>
    <n v="92919"/>
    <n v="93924"/>
    <n v="89052"/>
    <n v="166"/>
    <n v="81"/>
    <n v="1047"/>
    <m/>
    <m/>
    <n v="3786"/>
    <m/>
    <m/>
    <m/>
    <m/>
    <n v="6518"/>
    <n v="5669"/>
    <n v="5288"/>
    <n v="3857"/>
    <n v="147"/>
    <m/>
    <n v="1083"/>
    <m/>
    <m/>
    <n v="1812"/>
    <m/>
    <m/>
    <m/>
    <m/>
  </r>
  <r>
    <x v="11"/>
    <s v="South Carolina State University "/>
    <m/>
    <n v="218733"/>
    <x v="4"/>
    <n v="70053"/>
    <n v="69861"/>
    <n v="64602"/>
    <n v="64107"/>
    <m/>
    <m/>
    <n v="5451"/>
    <m/>
    <m/>
    <n v="5736"/>
    <m/>
    <n v="18"/>
    <m/>
    <m/>
    <n v="6734"/>
    <n v="7234"/>
    <n v="5663"/>
    <n v="6367"/>
    <m/>
    <m/>
    <n v="1071"/>
    <m/>
    <m/>
    <n v="867"/>
    <m/>
    <m/>
    <m/>
    <m/>
  </r>
  <r>
    <x v="11"/>
    <s v="Lander University"/>
    <m/>
    <n v="218229"/>
    <x v="5"/>
    <n v="76739.5"/>
    <n v="79040"/>
    <n v="70507.5"/>
    <n v="72813"/>
    <n v="312"/>
    <n v="33"/>
    <n v="5920"/>
    <m/>
    <m/>
    <n v="6194"/>
    <m/>
    <m/>
    <m/>
    <m/>
    <n v="883"/>
    <n v="1121"/>
    <n v="333"/>
    <n v="378"/>
    <m/>
    <m/>
    <n v="550"/>
    <m/>
    <m/>
    <n v="743"/>
    <m/>
    <m/>
    <m/>
    <m/>
  </r>
  <r>
    <x v="11"/>
    <s v="University of South Carolina-Aiken"/>
    <m/>
    <n v="218645"/>
    <x v="5"/>
    <n v="90041"/>
    <n v="89565"/>
    <n v="75809"/>
    <n v="74843"/>
    <m/>
    <m/>
    <n v="14232"/>
    <m/>
    <m/>
    <n v="14722"/>
    <m/>
    <m/>
    <m/>
    <m/>
    <n v="3271"/>
    <n v="2788"/>
    <n v="1114"/>
    <n v="937"/>
    <m/>
    <m/>
    <n v="2157"/>
    <m/>
    <m/>
    <n v="1851"/>
    <m/>
    <m/>
    <m/>
    <m/>
  </r>
  <r>
    <x v="11"/>
    <s v="University of South Carolina-Beaufort"/>
    <m/>
    <n v="218654"/>
    <x v="5"/>
    <n v="54309"/>
    <n v="57050"/>
    <n v="48930"/>
    <n v="47782"/>
    <m/>
    <m/>
    <n v="5379"/>
    <m/>
    <m/>
    <n v="9268"/>
    <m/>
    <m/>
    <m/>
    <m/>
    <n v="0"/>
    <n v="0"/>
    <m/>
    <m/>
    <m/>
    <m/>
    <m/>
    <m/>
    <m/>
    <m/>
    <m/>
    <m/>
    <m/>
    <m/>
  </r>
  <r>
    <x v="11"/>
    <s v="University of South Carolina-Upstate"/>
    <m/>
    <n v="218742"/>
    <x v="5"/>
    <n v="148958"/>
    <n v="152226"/>
    <n v="128269"/>
    <n v="127117"/>
    <m/>
    <m/>
    <n v="20689"/>
    <m/>
    <m/>
    <n v="25109"/>
    <m/>
    <m/>
    <m/>
    <m/>
    <n v="3231"/>
    <n v="2596"/>
    <n v="731"/>
    <n v="954"/>
    <m/>
    <m/>
    <n v="2500"/>
    <m/>
    <m/>
    <n v="1642"/>
    <m/>
    <m/>
    <m/>
    <m/>
  </r>
  <r>
    <x v="11"/>
    <s v="Florence-Darlington Technical College "/>
    <s v="Reclassified: Met the criteria for Two-Year 2 in 2015-16, 2016-17, and 2017-18."/>
    <n v="218025"/>
    <x v="7"/>
    <n v="123082"/>
    <n v="101226"/>
    <n v="28355"/>
    <n v="26736"/>
    <n v="12845"/>
    <n v="13229"/>
    <n v="76688"/>
    <n v="5194"/>
    <m/>
    <n v="53060"/>
    <n v="8201"/>
    <m/>
    <m/>
    <m/>
    <n v="0"/>
    <n v="0"/>
    <m/>
    <m/>
    <m/>
    <m/>
    <m/>
    <m/>
    <m/>
    <m/>
    <m/>
    <m/>
    <m/>
    <m/>
  </r>
  <r>
    <x v="11"/>
    <s v="Greenville Technical College "/>
    <m/>
    <n v="218113"/>
    <x v="6"/>
    <n v="241690"/>
    <n v="241012"/>
    <n v="157934"/>
    <n v="153046"/>
    <n v="16459"/>
    <n v="14817"/>
    <n v="67297"/>
    <m/>
    <m/>
    <n v="73149"/>
    <m/>
    <m/>
    <m/>
    <m/>
    <n v="0"/>
    <n v="0"/>
    <m/>
    <m/>
    <m/>
    <m/>
    <m/>
    <m/>
    <m/>
    <m/>
    <m/>
    <m/>
    <m/>
    <m/>
  </r>
  <r>
    <x v="11"/>
    <s v="Horry-Georgetown Technical College "/>
    <m/>
    <n v="218140"/>
    <x v="6"/>
    <n v="157545"/>
    <n v="154156"/>
    <n v="100135"/>
    <n v="97792"/>
    <n v="8588"/>
    <n v="7416"/>
    <n v="48822"/>
    <m/>
    <m/>
    <n v="48948"/>
    <m/>
    <m/>
    <m/>
    <m/>
    <n v="0"/>
    <n v="0"/>
    <m/>
    <m/>
    <m/>
    <m/>
    <m/>
    <m/>
    <m/>
    <m/>
    <m/>
    <m/>
    <m/>
    <m/>
  </r>
  <r>
    <x v="11"/>
    <s v="Midlands Technical College "/>
    <m/>
    <n v="218353"/>
    <x v="6"/>
    <n v="240176"/>
    <n v="224725"/>
    <n v="172115"/>
    <n v="153789"/>
    <n v="16252"/>
    <n v="15311"/>
    <n v="51809"/>
    <m/>
    <m/>
    <n v="55625"/>
    <m/>
    <m/>
    <m/>
    <m/>
    <n v="0"/>
    <n v="0"/>
    <m/>
    <m/>
    <m/>
    <m/>
    <m/>
    <m/>
    <m/>
    <m/>
    <m/>
    <m/>
    <m/>
    <m/>
  </r>
  <r>
    <x v="11"/>
    <s v="Piedmont Technical College "/>
    <m/>
    <n v="218520"/>
    <x v="7"/>
    <n v="107721"/>
    <n v="101214"/>
    <n v="47105"/>
    <n v="42513"/>
    <n v="10797"/>
    <n v="10335"/>
    <n v="43704"/>
    <n v="6115"/>
    <m/>
    <n v="41992"/>
    <n v="6374"/>
    <m/>
    <m/>
    <m/>
    <n v="0"/>
    <n v="0"/>
    <m/>
    <m/>
    <m/>
    <m/>
    <m/>
    <m/>
    <m/>
    <m/>
    <m/>
    <m/>
    <m/>
    <m/>
  </r>
  <r>
    <x v="11"/>
    <s v="Tri-County Technical College "/>
    <s v="Met the criteria for Two-Year 2 in 2016-17 and 2017-18."/>
    <n v="218885"/>
    <x v="6"/>
    <n v="145685"/>
    <n v="144617"/>
    <n v="107182"/>
    <n v="103512"/>
    <n v="6003"/>
    <n v="6089"/>
    <n v="32500"/>
    <m/>
    <m/>
    <n v="35016"/>
    <m/>
    <m/>
    <m/>
    <m/>
    <n v="0"/>
    <n v="0"/>
    <m/>
    <m/>
    <m/>
    <m/>
    <m/>
    <m/>
    <m/>
    <m/>
    <m/>
    <m/>
    <m/>
    <m/>
  </r>
  <r>
    <x v="11"/>
    <s v="Trident Technical College "/>
    <m/>
    <n v="218894"/>
    <x v="6"/>
    <n v="300605"/>
    <n v="280293"/>
    <n v="182739"/>
    <n v="146206"/>
    <n v="16531"/>
    <n v="21158"/>
    <n v="101335"/>
    <m/>
    <m/>
    <n v="112929"/>
    <m/>
    <m/>
    <m/>
    <m/>
    <n v="0"/>
    <n v="0"/>
    <m/>
    <m/>
    <m/>
    <m/>
    <m/>
    <m/>
    <m/>
    <m/>
    <m/>
    <m/>
    <m/>
    <m/>
  </r>
  <r>
    <x v="11"/>
    <s v="Aiken Technical College "/>
    <m/>
    <n v="217615"/>
    <x v="8"/>
    <n v="52099"/>
    <n v="52334"/>
    <n v="36810"/>
    <n v="36607"/>
    <n v="3271"/>
    <n v="1560"/>
    <n v="12018"/>
    <m/>
    <m/>
    <n v="14167"/>
    <m/>
    <m/>
    <m/>
    <m/>
    <n v="0"/>
    <n v="0"/>
    <m/>
    <m/>
    <m/>
    <m/>
    <m/>
    <m/>
    <m/>
    <m/>
    <m/>
    <m/>
    <m/>
    <m/>
  </r>
  <r>
    <x v="11"/>
    <s v="Central Carolina Technical College "/>
    <m/>
    <n v="218858"/>
    <x v="7"/>
    <n v="74228"/>
    <n v="77357"/>
    <n v="47674"/>
    <n v="44520"/>
    <n v="2208"/>
    <n v="3381"/>
    <n v="24346"/>
    <m/>
    <m/>
    <n v="29456"/>
    <m/>
    <m/>
    <m/>
    <m/>
    <n v="0"/>
    <n v="0"/>
    <m/>
    <m/>
    <m/>
    <m/>
    <m/>
    <m/>
    <m/>
    <m/>
    <m/>
    <m/>
    <m/>
    <m/>
  </r>
  <r>
    <x v="11"/>
    <s v="Orangeburg-Calhoun Technical College "/>
    <s v="Met the criteria for Two-Year 3 in 2016-17 and 2017-18."/>
    <n v="218487"/>
    <x v="7"/>
    <n v="56490"/>
    <n v="52581"/>
    <n v="35923"/>
    <n v="31905"/>
    <n v="8733"/>
    <n v="9406"/>
    <n v="11834"/>
    <m/>
    <m/>
    <n v="11270"/>
    <m/>
    <m/>
    <m/>
    <m/>
    <n v="0"/>
    <n v="0"/>
    <m/>
    <m/>
    <m/>
    <m/>
    <m/>
    <m/>
    <m/>
    <m/>
    <m/>
    <m/>
    <m/>
    <m/>
  </r>
  <r>
    <x v="11"/>
    <s v="Spartanburg Community College "/>
    <m/>
    <n v="218830"/>
    <x v="7"/>
    <n v="102245"/>
    <n v="98877"/>
    <n v="69288"/>
    <n v="65277"/>
    <n v="12263"/>
    <n v="9994"/>
    <n v="20694"/>
    <m/>
    <m/>
    <n v="23606"/>
    <m/>
    <m/>
    <m/>
    <m/>
    <n v="0"/>
    <n v="0"/>
    <m/>
    <m/>
    <m/>
    <m/>
    <m/>
    <m/>
    <m/>
    <m/>
    <m/>
    <m/>
    <m/>
    <m/>
  </r>
  <r>
    <x v="11"/>
    <s v="York Technical College "/>
    <m/>
    <n v="218991"/>
    <x v="7"/>
    <n v="103554"/>
    <n v="102927"/>
    <n v="74369"/>
    <n v="72586"/>
    <n v="5189"/>
    <n v="5344"/>
    <n v="23057"/>
    <n v="939"/>
    <m/>
    <n v="24919"/>
    <n v="78"/>
    <m/>
    <m/>
    <m/>
    <n v="0"/>
    <n v="0"/>
    <m/>
    <m/>
    <m/>
    <m/>
    <m/>
    <m/>
    <m/>
    <m/>
    <m/>
    <m/>
    <m/>
    <m/>
  </r>
  <r>
    <x v="11"/>
    <s v="Denmark Technical College "/>
    <m/>
    <n v="217989"/>
    <x v="8"/>
    <n v="20780"/>
    <n v="15064"/>
    <n v="13338"/>
    <n v="8529"/>
    <n v="2824"/>
    <n v="1818"/>
    <n v="4618"/>
    <m/>
    <m/>
    <n v="4717"/>
    <m/>
    <m/>
    <m/>
    <m/>
    <n v="0"/>
    <n v="0"/>
    <m/>
    <m/>
    <m/>
    <m/>
    <m/>
    <m/>
    <m/>
    <m/>
    <m/>
    <m/>
    <m/>
    <m/>
  </r>
  <r>
    <x v="11"/>
    <s v="Northeastern Technical College "/>
    <m/>
    <n v="217837"/>
    <x v="8"/>
    <n v="22379"/>
    <n v="21580"/>
    <n v="10075"/>
    <n v="8389"/>
    <n v="821"/>
    <n v="1578"/>
    <n v="8498"/>
    <n v="2985"/>
    <m/>
    <n v="7349"/>
    <n v="4264"/>
    <m/>
    <m/>
    <m/>
    <n v="0"/>
    <n v="0"/>
    <m/>
    <m/>
    <m/>
    <m/>
    <m/>
    <m/>
    <m/>
    <m/>
    <m/>
    <m/>
    <m/>
    <m/>
  </r>
  <r>
    <x v="11"/>
    <s v="Technical College of the Lowcountry"/>
    <m/>
    <n v="217712"/>
    <x v="8"/>
    <n v="47257"/>
    <n v="46430"/>
    <n v="32047"/>
    <n v="29952"/>
    <n v="2306"/>
    <n v="2068"/>
    <n v="12904"/>
    <m/>
    <m/>
    <n v="14410"/>
    <m/>
    <m/>
    <m/>
    <m/>
    <n v="0"/>
    <n v="0"/>
    <m/>
    <m/>
    <m/>
    <m/>
    <m/>
    <m/>
    <m/>
    <m/>
    <m/>
    <m/>
    <m/>
    <m/>
  </r>
  <r>
    <x v="11"/>
    <s v="University of South Carolina-Lancaster"/>
    <m/>
    <n v="218672"/>
    <x v="8"/>
    <n v="34550"/>
    <n v="34788"/>
    <n v="30650"/>
    <n v="33141"/>
    <m/>
    <m/>
    <n v="1113"/>
    <m/>
    <n v="2787"/>
    <n v="1647"/>
    <m/>
    <m/>
    <m/>
    <m/>
    <n v="0"/>
    <n v="0"/>
    <m/>
    <m/>
    <m/>
    <m/>
    <m/>
    <m/>
    <m/>
    <m/>
    <m/>
    <m/>
    <m/>
    <m/>
  </r>
  <r>
    <x v="11"/>
    <s v="University of South Carolina-Salkehatchie"/>
    <m/>
    <n v="218681"/>
    <x v="8"/>
    <n v="21022"/>
    <n v="21244"/>
    <n v="18291"/>
    <n v="18699"/>
    <m/>
    <m/>
    <n v="2731"/>
    <m/>
    <m/>
    <n v="2545"/>
    <m/>
    <m/>
    <m/>
    <m/>
    <n v="0"/>
    <n v="0"/>
    <m/>
    <m/>
    <m/>
    <m/>
    <m/>
    <m/>
    <m/>
    <m/>
    <m/>
    <m/>
    <m/>
    <m/>
  </r>
  <r>
    <x v="11"/>
    <s v="University of South Carolina-Sumter"/>
    <m/>
    <n v="218690"/>
    <x v="8"/>
    <n v="18662"/>
    <n v="20639"/>
    <n v="17171"/>
    <n v="18208"/>
    <m/>
    <m/>
    <n v="1491"/>
    <m/>
    <m/>
    <n v="2431"/>
    <m/>
    <m/>
    <m/>
    <m/>
    <n v="0"/>
    <n v="0"/>
    <m/>
    <m/>
    <m/>
    <m/>
    <m/>
    <m/>
    <m/>
    <m/>
    <m/>
    <m/>
    <m/>
    <m/>
  </r>
  <r>
    <x v="11"/>
    <s v="University of South Carolina-Union"/>
    <m/>
    <n v="218706"/>
    <x v="8"/>
    <n v="14115"/>
    <n v="15249"/>
    <n v="14073"/>
    <n v="15099"/>
    <m/>
    <m/>
    <n v="42"/>
    <m/>
    <m/>
    <n v="150"/>
    <m/>
    <m/>
    <m/>
    <m/>
    <n v="0"/>
    <n v="0"/>
    <m/>
    <m/>
    <m/>
    <m/>
    <m/>
    <m/>
    <m/>
    <m/>
    <m/>
    <m/>
    <m/>
    <m/>
  </r>
  <r>
    <x v="11"/>
    <s v="Willamsburg Technical College "/>
    <m/>
    <n v="218955"/>
    <x v="8"/>
    <n v="13373"/>
    <n v="13723"/>
    <n v="9954"/>
    <n v="10333"/>
    <n v="2819"/>
    <n v="2991"/>
    <n v="600"/>
    <m/>
    <m/>
    <n v="399"/>
    <m/>
    <m/>
    <m/>
    <m/>
    <n v="0"/>
    <n v="0"/>
    <m/>
    <m/>
    <m/>
    <m/>
    <m/>
    <m/>
    <m/>
    <m/>
    <m/>
    <m/>
    <m/>
    <m/>
  </r>
  <r>
    <x v="12"/>
    <s v="University of Memphis"/>
    <m/>
    <n v="220862"/>
    <x v="0"/>
    <n v="412153"/>
    <n v="414680"/>
    <n v="290450"/>
    <n v="283965"/>
    <n v="15493"/>
    <n v="18654"/>
    <n v="73425"/>
    <n v="323"/>
    <n v="30235"/>
    <n v="77205"/>
    <n v="352"/>
    <n v="32389"/>
    <n v="2227"/>
    <n v="2115"/>
    <n v="60371"/>
    <n v="60369"/>
    <n v="36293"/>
    <n v="35820"/>
    <n v="145"/>
    <n v="276"/>
    <n v="17324"/>
    <n v="219"/>
    <n v="3041"/>
    <n v="18099"/>
    <n v="165"/>
    <n v="3236"/>
    <n v="3349"/>
    <n v="2773"/>
  </r>
  <r>
    <x v="12"/>
    <s v="University of Tennessee, Knoxville"/>
    <m/>
    <n v="221759"/>
    <x v="0"/>
    <n v="609521"/>
    <n v="618176"/>
    <n v="580831"/>
    <n v="582865"/>
    <n v="18"/>
    <n v="24"/>
    <n v="23289"/>
    <n v="0"/>
    <n v="1844"/>
    <n v="30185"/>
    <n v="0"/>
    <n v="1691"/>
    <n v="3539"/>
    <n v="3411"/>
    <n v="89889"/>
    <n v="89553"/>
    <n v="68582"/>
    <n v="67797"/>
    <n v="2871"/>
    <n v="2771"/>
    <n v="14835"/>
    <n v="9"/>
    <n v="1072"/>
    <n v="15650"/>
    <n v="6"/>
    <n v="1204"/>
    <n v="2520"/>
    <n v="2125"/>
  </r>
  <r>
    <x v="12"/>
    <s v="East Tennessee State University "/>
    <m/>
    <n v="220075"/>
    <x v="1"/>
    <n v="298969"/>
    <n v="303195"/>
    <n v="203469"/>
    <n v="200728"/>
    <n v="6216"/>
    <n v="9984"/>
    <n v="65136"/>
    <n v="6451"/>
    <n v="15705"/>
    <n v="68339"/>
    <n v="6398"/>
    <n v="15736"/>
    <n v="1992"/>
    <n v="2010"/>
    <n v="42639"/>
    <n v="43302"/>
    <n v="18510"/>
    <n v="18041"/>
    <n v="110"/>
    <n v="1410"/>
    <n v="19925"/>
    <n v="258"/>
    <n v="1339"/>
    <n v="19738"/>
    <n v="267"/>
    <n v="1180"/>
    <n v="2497"/>
    <n v="2666"/>
  </r>
  <r>
    <x v="12"/>
    <s v="Tennessee State University "/>
    <m/>
    <n v="221838"/>
    <x v="1"/>
    <n v="188863"/>
    <n v="180535"/>
    <n v="148852"/>
    <n v="142969"/>
    <n v="22053"/>
    <n v="20387"/>
    <n v="15416"/>
    <n v="27"/>
    <n v="2273"/>
    <n v="14479"/>
    <n v="15"/>
    <n v="2194"/>
    <n v="242"/>
    <n v="491"/>
    <n v="25314"/>
    <n v="24246"/>
    <n v="12422"/>
    <n v="11715"/>
    <n v="6052"/>
    <n v="5886"/>
    <n v="5752"/>
    <n v="0"/>
    <n v="321"/>
    <n v="5112"/>
    <n v="0"/>
    <n v="926"/>
    <n v="767"/>
    <n v="607"/>
  </r>
  <r>
    <x v="12"/>
    <s v="Austin Peay State University "/>
    <m/>
    <n v="219602"/>
    <x v="2"/>
    <n v="240931"/>
    <n v="240233"/>
    <n v="146881"/>
    <n v="150004"/>
    <n v="10679"/>
    <n v="10736"/>
    <n v="65702"/>
    <n v="0"/>
    <n v="15502"/>
    <n v="62857"/>
    <n v="0"/>
    <n v="14770"/>
    <n v="2167"/>
    <n v="1866"/>
    <n v="15251"/>
    <n v="14593"/>
    <n v="3636"/>
    <n v="4244"/>
    <n v="186"/>
    <n v="109"/>
    <n v="10012"/>
    <n v="0"/>
    <n v="811"/>
    <n v="9536"/>
    <n v="0"/>
    <n v="245"/>
    <n v="606"/>
    <n v="459"/>
  </r>
  <r>
    <x v="12"/>
    <s v="Middle Tennessee State University "/>
    <s v="Reclassified: Met the criteria for Four-Year 2 in 2015-16, 2016-17, and 2017-18."/>
    <n v="220978"/>
    <x v="1"/>
    <n v="513248"/>
    <n v="502421"/>
    <n v="417029"/>
    <n v="404411"/>
    <n v="1132"/>
    <n v="4166"/>
    <n v="72366"/>
    <n v="531"/>
    <n v="18335"/>
    <n v="71150"/>
    <n v="289"/>
    <n v="18681"/>
    <n v="3855"/>
    <n v="3724"/>
    <n v="35290"/>
    <n v="35833"/>
    <n v="22183"/>
    <n v="20599"/>
    <n v="612"/>
    <n v="2698"/>
    <n v="9874"/>
    <n v="0"/>
    <n v="952"/>
    <n v="9838"/>
    <n v="0"/>
    <n v="886"/>
    <n v="1669"/>
    <n v="1812"/>
  </r>
  <r>
    <x v="12"/>
    <s v="Tennessee Technological University "/>
    <m/>
    <n v="221847"/>
    <x v="2"/>
    <n v="255489"/>
    <n v="251766"/>
    <n v="164013"/>
    <n v="157641"/>
    <n v="2002"/>
    <n v="3583"/>
    <n v="18769"/>
    <n v="0"/>
    <n v="66968"/>
    <n v="19529"/>
    <n v="0"/>
    <n v="67586"/>
    <n v="3737"/>
    <n v="3427"/>
    <n v="15434"/>
    <n v="15547"/>
    <n v="4074"/>
    <n v="3590"/>
    <n v="3"/>
    <n v="84"/>
    <n v="8266"/>
    <n v="0"/>
    <n v="1889"/>
    <n v="9203"/>
    <n v="0"/>
    <n v="1660"/>
    <n v="1202"/>
    <n v="1010"/>
  </r>
  <r>
    <x v="12"/>
    <s v="University of Tennessee at Chattanooga"/>
    <m/>
    <n v="221740"/>
    <x v="2"/>
    <n v="275347"/>
    <n v="277997"/>
    <n v="230437"/>
    <n v="224718"/>
    <n v="471"/>
    <n v="2733"/>
    <n v="43371"/>
    <n v="0"/>
    <n v="6"/>
    <n v="49482"/>
    <n v="0"/>
    <n v="18"/>
    <n v="1062"/>
    <n v="1046"/>
    <n v="24597"/>
    <n v="26381"/>
    <n v="16089"/>
    <n v="16732"/>
    <n v="0"/>
    <n v="0"/>
    <n v="8157"/>
    <n v="8"/>
    <n v="0"/>
    <n v="9404"/>
    <n v="6"/>
    <n v="0"/>
    <n v="343"/>
    <n v="239"/>
  </r>
  <r>
    <x v="12"/>
    <s v="University of Tennessee at Martin"/>
    <m/>
    <n v="221768"/>
    <x v="4"/>
    <n v="169557"/>
    <n v="164451"/>
    <n v="139906"/>
    <n v="132162"/>
    <n v="7065"/>
    <n v="7228"/>
    <n v="18144"/>
    <n v="4113"/>
    <n v="42"/>
    <n v="21021"/>
    <n v="3829"/>
    <n v="24"/>
    <n v="287"/>
    <n v="187"/>
    <n v="6169"/>
    <n v="6757"/>
    <n v="711"/>
    <n v="880"/>
    <n v="6"/>
    <n v="0"/>
    <n v="5449"/>
    <n v="0"/>
    <n v="0"/>
    <n v="5877"/>
    <n v="0"/>
    <n v="0"/>
    <n v="3"/>
    <n v="0"/>
  </r>
  <r>
    <x v="12"/>
    <s v="Chattanooga State Technical Community College "/>
    <m/>
    <n v="219824"/>
    <x v="6"/>
    <n v="173410"/>
    <n v="165710"/>
    <n v="106544"/>
    <n v="98756"/>
    <n v="7512"/>
    <n v="10749"/>
    <n v="43230"/>
    <n v="0"/>
    <n v="15987"/>
    <n v="41416"/>
    <n v="0"/>
    <n v="14575"/>
    <n v="137"/>
    <n v="214"/>
    <n v="0"/>
    <n v="0"/>
    <m/>
    <m/>
    <m/>
    <m/>
    <m/>
    <m/>
    <m/>
    <m/>
    <m/>
    <m/>
    <m/>
    <m/>
  </r>
  <r>
    <x v="12"/>
    <s v="Nashville State Technical Community College"/>
    <m/>
    <n v="221184"/>
    <x v="6"/>
    <n v="188283.5"/>
    <n v="164329"/>
    <n v="118677.5"/>
    <n v="62165"/>
    <n v="23119"/>
    <n v="61709"/>
    <n v="38452"/>
    <n v="0"/>
    <n v="7868"/>
    <n v="36777"/>
    <n v="0"/>
    <n v="3552"/>
    <n v="167"/>
    <n v="126"/>
    <n v="0"/>
    <n v="0"/>
    <m/>
    <m/>
    <m/>
    <m/>
    <m/>
    <m/>
    <m/>
    <m/>
    <m/>
    <m/>
    <m/>
    <m/>
  </r>
  <r>
    <x v="12"/>
    <s v="Pellissippi State Technical Community College"/>
    <m/>
    <n v="221643"/>
    <x v="6"/>
    <n v="205751"/>
    <n v="210687"/>
    <n v="121595"/>
    <n v="112782"/>
    <n v="48922"/>
    <n v="58784"/>
    <n v="28747"/>
    <n v="957"/>
    <n v="5424"/>
    <n v="34029"/>
    <n v="354"/>
    <n v="4621"/>
    <n v="106"/>
    <n v="117"/>
    <n v="0"/>
    <n v="0"/>
    <m/>
    <m/>
    <m/>
    <m/>
    <m/>
    <m/>
    <m/>
    <m/>
    <m/>
    <m/>
    <m/>
    <m/>
  </r>
  <r>
    <x v="12"/>
    <s v="Southwest Tennessee Community College"/>
    <m/>
    <n v="221485"/>
    <x v="6"/>
    <n v="149000"/>
    <n v="154526"/>
    <n v="13984"/>
    <n v="0"/>
    <n v="102597"/>
    <n v="116551"/>
    <n v="25468"/>
    <n v="0"/>
    <n v="6945"/>
    <n v="30354"/>
    <n v="0"/>
    <n v="7610"/>
    <n v="6"/>
    <n v="11"/>
    <n v="0"/>
    <n v="0"/>
    <m/>
    <m/>
    <m/>
    <m/>
    <m/>
    <m/>
    <m/>
    <m/>
    <m/>
    <m/>
    <m/>
    <m/>
  </r>
  <r>
    <x v="12"/>
    <s v="Volunteer State Community College "/>
    <m/>
    <n v="222053"/>
    <x v="6"/>
    <n v="167161"/>
    <n v="176044"/>
    <n v="106803"/>
    <n v="91765"/>
    <n v="14228"/>
    <n v="30387"/>
    <n v="42229"/>
    <n v="84"/>
    <n v="3460"/>
    <n v="46627"/>
    <n v="0"/>
    <n v="6919"/>
    <n v="357"/>
    <n v="346"/>
    <n v="0"/>
    <n v="0"/>
    <m/>
    <m/>
    <m/>
    <m/>
    <m/>
    <m/>
    <m/>
    <m/>
    <m/>
    <m/>
    <m/>
    <m/>
  </r>
  <r>
    <x v="12"/>
    <s v="Cleveland State Community College "/>
    <m/>
    <n v="219879"/>
    <x v="7"/>
    <n v="68429"/>
    <n v="62404"/>
    <n v="38870"/>
    <n v="32938"/>
    <n v="10498"/>
    <n v="10254"/>
    <n v="10594"/>
    <n v="15"/>
    <n v="7868"/>
    <n v="9740"/>
    <n v="9"/>
    <n v="8822"/>
    <n v="584"/>
    <n v="641"/>
    <n v="0"/>
    <n v="0"/>
    <m/>
    <m/>
    <m/>
    <m/>
    <m/>
    <m/>
    <m/>
    <m/>
    <m/>
    <m/>
    <m/>
    <m/>
  </r>
  <r>
    <x v="12"/>
    <s v="Columbia State Community College "/>
    <m/>
    <n v="219888"/>
    <x v="7"/>
    <n v="105415"/>
    <n v="110124"/>
    <n v="37001"/>
    <n v="34457"/>
    <n v="36897"/>
    <n v="44049"/>
    <n v="22325"/>
    <n v="3685"/>
    <n v="5424"/>
    <n v="24537"/>
    <n v="1361"/>
    <n v="5584"/>
    <n v="83"/>
    <n v="136"/>
    <n v="0"/>
    <n v="0"/>
    <m/>
    <m/>
    <m/>
    <m/>
    <m/>
    <m/>
    <m/>
    <m/>
    <m/>
    <m/>
    <m/>
    <m/>
  </r>
  <r>
    <x v="12"/>
    <s v="Dyersburg State Community College "/>
    <m/>
    <n v="220057"/>
    <x v="8"/>
    <n v="50054"/>
    <n v="50263"/>
    <n v="16977"/>
    <n v="15580"/>
    <n v="19799"/>
    <n v="20756"/>
    <n v="9328"/>
    <n v="2743"/>
    <n v="1044"/>
    <n v="10328"/>
    <n v="2178"/>
    <n v="1248"/>
    <n v="163"/>
    <n v="173"/>
    <n v="0"/>
    <n v="0"/>
    <m/>
    <m/>
    <m/>
    <m/>
    <m/>
    <m/>
    <m/>
    <m/>
    <m/>
    <m/>
    <m/>
    <m/>
  </r>
  <r>
    <x v="12"/>
    <s v="Jackson State Community College "/>
    <m/>
    <n v="220400"/>
    <x v="7"/>
    <n v="88242"/>
    <n v="88858"/>
    <n v="48385"/>
    <n v="43568"/>
    <n v="10294"/>
    <n v="13637"/>
    <n v="19232"/>
    <n v="3759"/>
    <n v="6492"/>
    <n v="20215"/>
    <n v="3966"/>
    <n v="7439"/>
    <n v="80"/>
    <n v="33"/>
    <n v="0"/>
    <n v="0"/>
    <m/>
    <m/>
    <m/>
    <m/>
    <m/>
    <m/>
    <m/>
    <m/>
    <m/>
    <m/>
    <m/>
    <m/>
  </r>
  <r>
    <x v="12"/>
    <s v="Motlow State Community College "/>
    <m/>
    <n v="221096"/>
    <x v="7"/>
    <n v="117894"/>
    <n v="129107"/>
    <n v="26607"/>
    <n v="24605"/>
    <n v="63278"/>
    <n v="67186"/>
    <n v="18540"/>
    <n v="6018"/>
    <n v="3171"/>
    <n v="26343"/>
    <n v="6838"/>
    <n v="3824"/>
    <n v="280"/>
    <n v="311"/>
    <n v="0"/>
    <n v="0"/>
    <m/>
    <m/>
    <m/>
    <m/>
    <m/>
    <m/>
    <m/>
    <m/>
    <m/>
    <m/>
    <m/>
    <m/>
  </r>
  <r>
    <x v="12"/>
    <s v="Northeast State Technical Community College"/>
    <m/>
    <n v="221908"/>
    <x v="7"/>
    <n v="125641"/>
    <n v="122546"/>
    <n v="70490"/>
    <n v="64986"/>
    <n v="33949"/>
    <n v="37077"/>
    <n v="15466"/>
    <n v="4014"/>
    <n v="1671"/>
    <n v="15553"/>
    <n v="2015"/>
    <n v="2786"/>
    <n v="51"/>
    <n v="129"/>
    <n v="0"/>
    <n v="0"/>
    <m/>
    <m/>
    <m/>
    <m/>
    <m/>
    <m/>
    <m/>
    <m/>
    <m/>
    <m/>
    <m/>
    <m/>
  </r>
  <r>
    <x v="12"/>
    <s v="Roane State Community College "/>
    <m/>
    <n v="221397"/>
    <x v="7"/>
    <n v="107908"/>
    <n v="109148"/>
    <n v="21001"/>
    <n v="16513"/>
    <n v="51898"/>
    <n v="56341"/>
    <n v="22872"/>
    <n v="5333"/>
    <n v="6782"/>
    <n v="24163"/>
    <n v="4318"/>
    <n v="7776"/>
    <n v="22"/>
    <n v="37"/>
    <n v="0"/>
    <n v="0"/>
    <m/>
    <m/>
    <m/>
    <m/>
    <m/>
    <m/>
    <m/>
    <m/>
    <m/>
    <m/>
    <m/>
    <m/>
  </r>
  <r>
    <x v="12"/>
    <s v="Walters State Community College "/>
    <m/>
    <n v="222062"/>
    <x v="7"/>
    <n v="111192"/>
    <n v="115636"/>
    <n v="45741"/>
    <n v="44702"/>
    <n v="39379"/>
    <n v="43870"/>
    <n v="18038"/>
    <n v="6011"/>
    <n v="1998"/>
    <n v="19005"/>
    <n v="6076"/>
    <n v="1965"/>
    <n v="25"/>
    <n v="18"/>
    <n v="0"/>
    <n v="0"/>
    <m/>
    <m/>
    <m/>
    <m/>
    <m/>
    <m/>
    <m/>
    <m/>
    <m/>
    <m/>
    <m/>
    <m/>
  </r>
  <r>
    <x v="12"/>
    <s v="Tennessee College of Applied Technology at Chattanooga"/>
    <s v="Met the criteria for Technical Institute or College 2 in 2017-18."/>
    <s v="219824B"/>
    <x v="9"/>
    <n v="0"/>
    <n v="0"/>
    <m/>
    <m/>
    <m/>
    <m/>
    <m/>
    <m/>
    <m/>
    <m/>
    <m/>
    <m/>
    <m/>
    <m/>
    <n v="0"/>
    <n v="0"/>
    <m/>
    <m/>
    <m/>
    <m/>
    <m/>
    <m/>
    <m/>
    <m/>
    <m/>
    <m/>
    <m/>
    <m/>
  </r>
  <r>
    <x v="12"/>
    <s v="Tennessee College of Applied Technology at Athens"/>
    <m/>
    <n v="219596"/>
    <x v="10"/>
    <n v="0"/>
    <n v="0"/>
    <m/>
    <m/>
    <m/>
    <m/>
    <m/>
    <m/>
    <m/>
    <m/>
    <m/>
    <m/>
    <m/>
    <m/>
    <n v="0"/>
    <n v="0"/>
    <m/>
    <m/>
    <m/>
    <m/>
    <m/>
    <m/>
    <m/>
    <m/>
    <m/>
    <m/>
    <m/>
    <m/>
  </r>
  <r>
    <x v="12"/>
    <s v="Tennessee College of Applied Technology at Covington"/>
    <m/>
    <n v="219921"/>
    <x v="10"/>
    <n v="0"/>
    <n v="0"/>
    <m/>
    <m/>
    <m/>
    <m/>
    <m/>
    <m/>
    <m/>
    <m/>
    <m/>
    <m/>
    <m/>
    <m/>
    <n v="0"/>
    <n v="0"/>
    <m/>
    <m/>
    <m/>
    <m/>
    <m/>
    <m/>
    <m/>
    <m/>
    <m/>
    <m/>
    <m/>
    <m/>
  </r>
  <r>
    <x v="12"/>
    <s v="Tennessee College of Applied Technology at Crossville"/>
    <m/>
    <n v="221591"/>
    <x v="10"/>
    <n v="0"/>
    <n v="0"/>
    <m/>
    <m/>
    <m/>
    <m/>
    <m/>
    <m/>
    <m/>
    <m/>
    <m/>
    <m/>
    <m/>
    <m/>
    <n v="0"/>
    <n v="0"/>
    <m/>
    <m/>
    <m/>
    <m/>
    <m/>
    <m/>
    <m/>
    <m/>
    <m/>
    <m/>
    <m/>
    <m/>
  </r>
  <r>
    <x v="12"/>
    <s v="Tennessee College of Applied Technology at Crump"/>
    <m/>
    <n v="221430"/>
    <x v="10"/>
    <n v="0"/>
    <n v="0"/>
    <m/>
    <m/>
    <m/>
    <m/>
    <m/>
    <m/>
    <m/>
    <m/>
    <m/>
    <m/>
    <m/>
    <m/>
    <n v="0"/>
    <n v="0"/>
    <m/>
    <m/>
    <m/>
    <m/>
    <m/>
    <m/>
    <m/>
    <m/>
    <m/>
    <m/>
    <m/>
    <m/>
  </r>
  <r>
    <x v="12"/>
    <s v="Tennessee College of Applied Technology at Dickson"/>
    <m/>
    <n v="219994"/>
    <x v="10"/>
    <n v="0"/>
    <n v="0"/>
    <m/>
    <m/>
    <m/>
    <m/>
    <m/>
    <m/>
    <m/>
    <m/>
    <m/>
    <m/>
    <m/>
    <m/>
    <n v="0"/>
    <n v="0"/>
    <m/>
    <m/>
    <m/>
    <m/>
    <m/>
    <m/>
    <m/>
    <m/>
    <m/>
    <m/>
    <m/>
    <m/>
  </r>
  <r>
    <x v="12"/>
    <s v="Tennessee College of Applied Technology at Elizabethton"/>
    <m/>
    <n v="220127"/>
    <x v="10"/>
    <n v="0"/>
    <n v="0"/>
    <m/>
    <m/>
    <m/>
    <m/>
    <m/>
    <m/>
    <m/>
    <m/>
    <m/>
    <m/>
    <m/>
    <m/>
    <n v="0"/>
    <n v="0"/>
    <m/>
    <m/>
    <m/>
    <m/>
    <m/>
    <m/>
    <m/>
    <m/>
    <m/>
    <m/>
    <m/>
    <m/>
  </r>
  <r>
    <x v="12"/>
    <s v="Tennessee College of Applied Technology at Harriman"/>
    <m/>
    <n v="220251"/>
    <x v="10"/>
    <n v="0"/>
    <n v="0"/>
    <m/>
    <m/>
    <m/>
    <m/>
    <m/>
    <m/>
    <m/>
    <m/>
    <m/>
    <m/>
    <m/>
    <m/>
    <n v="0"/>
    <n v="0"/>
    <m/>
    <m/>
    <m/>
    <m/>
    <m/>
    <m/>
    <m/>
    <m/>
    <m/>
    <m/>
    <m/>
    <m/>
  </r>
  <r>
    <x v="12"/>
    <s v="Tennessee College of Applied Technology at Hartsville"/>
    <m/>
    <n v="220279"/>
    <x v="10"/>
    <n v="0"/>
    <n v="0"/>
    <m/>
    <m/>
    <m/>
    <m/>
    <m/>
    <m/>
    <m/>
    <m/>
    <m/>
    <m/>
    <m/>
    <m/>
    <n v="0"/>
    <n v="0"/>
    <m/>
    <m/>
    <m/>
    <m/>
    <m/>
    <m/>
    <m/>
    <m/>
    <m/>
    <m/>
    <m/>
    <m/>
  </r>
  <r>
    <x v="12"/>
    <s v="Tennessee College of Applied Technology at Hohenwald"/>
    <m/>
    <n v="220321"/>
    <x v="10"/>
    <n v="0"/>
    <n v="0"/>
    <m/>
    <m/>
    <m/>
    <m/>
    <m/>
    <m/>
    <m/>
    <m/>
    <m/>
    <m/>
    <m/>
    <m/>
    <n v="0"/>
    <n v="0"/>
    <m/>
    <m/>
    <m/>
    <m/>
    <m/>
    <m/>
    <m/>
    <m/>
    <m/>
    <m/>
    <m/>
    <m/>
  </r>
  <r>
    <x v="12"/>
    <s v="Tennessee College of Applied Technology at Jacksboro"/>
    <m/>
    <n v="220394"/>
    <x v="10"/>
    <n v="0"/>
    <n v="0"/>
    <m/>
    <m/>
    <m/>
    <m/>
    <m/>
    <m/>
    <m/>
    <m/>
    <m/>
    <m/>
    <m/>
    <m/>
    <n v="0"/>
    <n v="0"/>
    <m/>
    <m/>
    <m/>
    <m/>
    <m/>
    <m/>
    <m/>
    <m/>
    <m/>
    <m/>
    <m/>
    <m/>
  </r>
  <r>
    <x v="12"/>
    <s v="Tennessee College of Applied Technology at Jackson"/>
    <m/>
    <n v="221616"/>
    <x v="10"/>
    <n v="0"/>
    <n v="0"/>
    <m/>
    <m/>
    <m/>
    <m/>
    <m/>
    <m/>
    <m/>
    <m/>
    <m/>
    <m/>
    <m/>
    <m/>
    <n v="0"/>
    <n v="0"/>
    <m/>
    <m/>
    <m/>
    <m/>
    <m/>
    <m/>
    <m/>
    <m/>
    <m/>
    <m/>
    <m/>
    <m/>
  </r>
  <r>
    <x v="12"/>
    <s v="Tennessee College of Applied Technology at Knoxville"/>
    <m/>
    <n v="221625"/>
    <x v="10"/>
    <n v="0"/>
    <n v="0"/>
    <m/>
    <m/>
    <m/>
    <m/>
    <m/>
    <m/>
    <m/>
    <m/>
    <m/>
    <m/>
    <m/>
    <m/>
    <n v="0"/>
    <n v="0"/>
    <m/>
    <m/>
    <m/>
    <m/>
    <m/>
    <m/>
    <m/>
    <m/>
    <m/>
    <m/>
    <m/>
    <m/>
  </r>
  <r>
    <x v="12"/>
    <s v="Tennessee College of Applied Technology at Livingston"/>
    <m/>
    <n v="220640"/>
    <x v="10"/>
    <n v="0"/>
    <n v="0"/>
    <m/>
    <m/>
    <m/>
    <m/>
    <m/>
    <m/>
    <m/>
    <m/>
    <m/>
    <m/>
    <m/>
    <m/>
    <n v="0"/>
    <n v="0"/>
    <m/>
    <m/>
    <m/>
    <m/>
    <m/>
    <m/>
    <m/>
    <m/>
    <m/>
    <m/>
    <m/>
    <m/>
  </r>
  <r>
    <x v="12"/>
    <s v="Tennessee College of Applied Technology at McKenzie"/>
    <m/>
    <n v="220756"/>
    <x v="10"/>
    <n v="0"/>
    <n v="0"/>
    <m/>
    <m/>
    <m/>
    <m/>
    <m/>
    <m/>
    <m/>
    <m/>
    <m/>
    <m/>
    <m/>
    <m/>
    <n v="0"/>
    <n v="0"/>
    <m/>
    <m/>
    <m/>
    <m/>
    <m/>
    <m/>
    <m/>
    <m/>
    <m/>
    <m/>
    <m/>
    <m/>
  </r>
  <r>
    <x v="12"/>
    <s v="Tennessee College of Applied Technology at McMinnville"/>
    <m/>
    <n v="221607"/>
    <x v="10"/>
    <n v="0"/>
    <n v="0"/>
    <m/>
    <m/>
    <m/>
    <m/>
    <m/>
    <m/>
    <m/>
    <m/>
    <m/>
    <m/>
    <m/>
    <m/>
    <n v="0"/>
    <n v="0"/>
    <m/>
    <m/>
    <m/>
    <m/>
    <m/>
    <m/>
    <m/>
    <m/>
    <m/>
    <m/>
    <m/>
    <m/>
  </r>
  <r>
    <x v="12"/>
    <s v="Tennessee College of Applied Technology at Memphis"/>
    <m/>
    <n v="220853"/>
    <x v="10"/>
    <n v="0"/>
    <n v="0"/>
    <m/>
    <m/>
    <m/>
    <m/>
    <m/>
    <m/>
    <m/>
    <m/>
    <m/>
    <m/>
    <m/>
    <m/>
    <n v="0"/>
    <n v="0"/>
    <m/>
    <m/>
    <m/>
    <m/>
    <m/>
    <m/>
    <m/>
    <m/>
    <m/>
    <m/>
    <m/>
    <m/>
  </r>
  <r>
    <x v="12"/>
    <s v="Tennessee College of Applied Technology at Morristown"/>
    <m/>
    <n v="221050"/>
    <x v="10"/>
    <n v="0"/>
    <n v="0"/>
    <m/>
    <m/>
    <m/>
    <m/>
    <m/>
    <m/>
    <m/>
    <m/>
    <m/>
    <m/>
    <m/>
    <m/>
    <n v="0"/>
    <n v="0"/>
    <m/>
    <m/>
    <m/>
    <m/>
    <m/>
    <m/>
    <m/>
    <m/>
    <m/>
    <m/>
    <m/>
    <m/>
  </r>
  <r>
    <x v="12"/>
    <s v="Tennessee College of Applied Technology at Murfreesboro"/>
    <m/>
    <n v="221102"/>
    <x v="10"/>
    <n v="0"/>
    <n v="0"/>
    <m/>
    <m/>
    <m/>
    <m/>
    <m/>
    <m/>
    <m/>
    <m/>
    <m/>
    <m/>
    <m/>
    <m/>
    <n v="0"/>
    <n v="0"/>
    <m/>
    <m/>
    <m/>
    <m/>
    <m/>
    <m/>
    <m/>
    <m/>
    <m/>
    <m/>
    <m/>
    <m/>
  </r>
  <r>
    <x v="12"/>
    <s v="Tennessee College of Applied Technology at Nashville"/>
    <m/>
    <n v="248925"/>
    <x v="10"/>
    <n v="0"/>
    <n v="0"/>
    <m/>
    <m/>
    <m/>
    <m/>
    <m/>
    <m/>
    <m/>
    <m/>
    <m/>
    <m/>
    <m/>
    <m/>
    <n v="0"/>
    <n v="0"/>
    <m/>
    <m/>
    <m/>
    <m/>
    <m/>
    <m/>
    <m/>
    <m/>
    <m/>
    <m/>
    <m/>
    <m/>
  </r>
  <r>
    <x v="12"/>
    <s v="Tennessee College of Applied Technology at Newbern"/>
    <m/>
    <n v="221236"/>
    <x v="10"/>
    <n v="0"/>
    <n v="0"/>
    <m/>
    <m/>
    <m/>
    <m/>
    <m/>
    <m/>
    <m/>
    <m/>
    <m/>
    <m/>
    <m/>
    <m/>
    <n v="0"/>
    <n v="0"/>
    <m/>
    <m/>
    <m/>
    <m/>
    <m/>
    <m/>
    <m/>
    <m/>
    <m/>
    <m/>
    <m/>
    <m/>
  </r>
  <r>
    <x v="12"/>
    <s v="Tennessee College of Applied Technology at Oneida"/>
    <m/>
    <n v="221582"/>
    <x v="10"/>
    <n v="0"/>
    <n v="0"/>
    <m/>
    <m/>
    <m/>
    <m/>
    <m/>
    <m/>
    <m/>
    <m/>
    <m/>
    <m/>
    <m/>
    <m/>
    <n v="0"/>
    <n v="0"/>
    <m/>
    <m/>
    <m/>
    <m/>
    <m/>
    <m/>
    <m/>
    <m/>
    <m/>
    <m/>
    <m/>
    <m/>
  </r>
  <r>
    <x v="12"/>
    <s v="Tennessee College of Applied Technology at Paris"/>
    <m/>
    <n v="221281"/>
    <x v="10"/>
    <n v="0"/>
    <n v="0"/>
    <m/>
    <m/>
    <m/>
    <m/>
    <m/>
    <m/>
    <m/>
    <m/>
    <m/>
    <m/>
    <m/>
    <m/>
    <n v="0"/>
    <n v="0"/>
    <m/>
    <m/>
    <m/>
    <m/>
    <m/>
    <m/>
    <m/>
    <m/>
    <m/>
    <m/>
    <m/>
    <m/>
  </r>
  <r>
    <x v="12"/>
    <s v="Tennessee College of Applied Technology at Pulaski"/>
    <m/>
    <n v="221333"/>
    <x v="10"/>
    <n v="0"/>
    <n v="0"/>
    <m/>
    <m/>
    <m/>
    <m/>
    <m/>
    <m/>
    <m/>
    <m/>
    <m/>
    <m/>
    <m/>
    <m/>
    <n v="0"/>
    <n v="0"/>
    <m/>
    <m/>
    <m/>
    <m/>
    <m/>
    <m/>
    <m/>
    <m/>
    <m/>
    <m/>
    <m/>
    <m/>
  </r>
  <r>
    <x v="12"/>
    <s v="Tennessee College of Applied Technology at Ripley"/>
    <m/>
    <n v="221388"/>
    <x v="10"/>
    <n v="0"/>
    <n v="0"/>
    <m/>
    <m/>
    <m/>
    <m/>
    <m/>
    <m/>
    <m/>
    <m/>
    <m/>
    <m/>
    <m/>
    <m/>
    <n v="0"/>
    <n v="0"/>
    <m/>
    <m/>
    <m/>
    <m/>
    <m/>
    <m/>
    <m/>
    <m/>
    <m/>
    <m/>
    <m/>
    <m/>
  </r>
  <r>
    <x v="12"/>
    <s v="Tennessee College of Applied Technology at Shelbyville"/>
    <m/>
    <n v="221494"/>
    <x v="10"/>
    <n v="0"/>
    <n v="0"/>
    <m/>
    <m/>
    <m/>
    <m/>
    <m/>
    <m/>
    <m/>
    <m/>
    <m/>
    <m/>
    <m/>
    <m/>
    <n v="0"/>
    <n v="0"/>
    <m/>
    <m/>
    <m/>
    <m/>
    <m/>
    <m/>
    <m/>
    <m/>
    <m/>
    <m/>
    <m/>
    <m/>
  </r>
  <r>
    <x v="12"/>
    <s v="Tennessee College of Applied Technology at Whiteville"/>
    <m/>
    <n v="221634"/>
    <x v="10"/>
    <n v="0"/>
    <n v="0"/>
    <m/>
    <m/>
    <m/>
    <m/>
    <m/>
    <m/>
    <m/>
    <m/>
    <m/>
    <m/>
    <m/>
    <m/>
    <n v="0"/>
    <n v="0"/>
    <m/>
    <m/>
    <m/>
    <m/>
    <m/>
    <m/>
    <m/>
    <m/>
    <m/>
    <m/>
    <m/>
    <m/>
  </r>
  <r>
    <x v="13"/>
    <s v="Texas A &amp; M University "/>
    <m/>
    <n v="228723"/>
    <x v="0"/>
    <n v="1278325"/>
    <n v="1321004"/>
    <n v="1131001"/>
    <n v="1149447"/>
    <n v="9532"/>
    <n v="11928"/>
    <n v="128122"/>
    <n v="0"/>
    <n v="9670"/>
    <n v="147908"/>
    <n v="0"/>
    <n v="11721"/>
    <m/>
    <m/>
    <n v="226409"/>
    <n v="224212"/>
    <n v="189796"/>
    <n v="185431"/>
    <n v="5427"/>
    <n v="5865"/>
    <n v="27111"/>
    <n v="33"/>
    <n v="4042"/>
    <n v="28409"/>
    <n v="0"/>
    <n v="4507"/>
    <m/>
    <m/>
  </r>
  <r>
    <x v="13"/>
    <s v="Texas Tech University "/>
    <m/>
    <n v="229115"/>
    <x v="0"/>
    <n v="792831"/>
    <n v="810366"/>
    <n v="639709"/>
    <n v="642108"/>
    <n v="10294"/>
    <n v="11203"/>
    <n v="142205"/>
    <n v="623"/>
    <n v="0"/>
    <n v="155953"/>
    <n v="1102"/>
    <n v="0"/>
    <m/>
    <m/>
    <n v="126883"/>
    <n v="122224"/>
    <n v="91338"/>
    <n v="87142"/>
    <n v="1010"/>
    <n v="1121"/>
    <n v="34466"/>
    <n v="69"/>
    <n v="0"/>
    <n v="33889"/>
    <n v="72"/>
    <n v="0"/>
    <m/>
    <m/>
  </r>
  <r>
    <x v="13"/>
    <s v="University of Houston"/>
    <m/>
    <n v="225511"/>
    <x v="0"/>
    <n v="883751"/>
    <n v="920538"/>
    <n v="656777"/>
    <n v="669019"/>
    <n v="17108"/>
    <n v="19101"/>
    <n v="209591"/>
    <n v="275"/>
    <n v="0"/>
    <n v="232349"/>
    <n v="69"/>
    <n v="0"/>
    <m/>
    <m/>
    <n v="175604"/>
    <n v="175307"/>
    <n v="156768"/>
    <n v="156995"/>
    <n v="4425"/>
    <n v="2269"/>
    <n v="14132"/>
    <n v="279"/>
    <n v="0"/>
    <n v="15866"/>
    <n v="177"/>
    <n v="0"/>
    <m/>
    <m/>
  </r>
  <r>
    <x v="13"/>
    <s v="University of North Texas"/>
    <m/>
    <n v="227216"/>
    <x v="0"/>
    <n v="806818"/>
    <n v="811284"/>
    <n v="680229"/>
    <n v="669560"/>
    <n v="4878"/>
    <n v="4769"/>
    <n v="121486"/>
    <n v="195"/>
    <n v="30"/>
    <n v="136907"/>
    <n v="30"/>
    <n v="18"/>
    <m/>
    <m/>
    <n v="105426"/>
    <n v="105086"/>
    <n v="66894"/>
    <n v="63999"/>
    <n v="1299"/>
    <n v="760"/>
    <n v="37197"/>
    <n v="36"/>
    <n v="0"/>
    <n v="40309"/>
    <n v="18"/>
    <n v="0"/>
    <m/>
    <m/>
  </r>
  <r>
    <x v="13"/>
    <s v="University of Texas at Arlington"/>
    <m/>
    <n v="228769"/>
    <x v="0"/>
    <n v="658963"/>
    <n v="708058"/>
    <n v="473603"/>
    <n v="488588"/>
    <n v="1852"/>
    <n v="2414"/>
    <n v="183253"/>
    <n v="0"/>
    <n v="255"/>
    <n v="217041"/>
    <n v="15"/>
    <n v="0"/>
    <m/>
    <m/>
    <n v="194583"/>
    <n v="214094"/>
    <n v="109003"/>
    <n v="93213"/>
    <n v="6658"/>
    <n v="5979"/>
    <n v="78838"/>
    <n v="84"/>
    <n v="0"/>
    <n v="114899"/>
    <n v="3"/>
    <n v="0"/>
    <m/>
    <m/>
  </r>
  <r>
    <x v="13"/>
    <s v="University of Texas at Austin"/>
    <m/>
    <n v="228778"/>
    <x v="0"/>
    <n v="1070241"/>
    <n v="1089970"/>
    <n v="993791"/>
    <n v="991445"/>
    <n v="6169"/>
    <n v="6048"/>
    <n v="42981"/>
    <n v="27135"/>
    <n v="165"/>
    <n v="58331"/>
    <n v="34092"/>
    <n v="54"/>
    <m/>
    <m/>
    <n v="242758"/>
    <n v="239440"/>
    <n v="237491"/>
    <n v="233743"/>
    <n v="435"/>
    <n v="671"/>
    <n v="2109"/>
    <n v="1940"/>
    <n v="783"/>
    <n v="2470"/>
    <n v="1653"/>
    <n v="903"/>
    <m/>
    <m/>
  </r>
  <r>
    <x v="13"/>
    <s v="University of Texas at Dallas"/>
    <m/>
    <n v="228787"/>
    <x v="0"/>
    <n v="437506"/>
    <n v="476193"/>
    <n v="412246"/>
    <n v="446482"/>
    <n v="2482"/>
    <n v="4292"/>
    <n v="22778"/>
    <n v="0"/>
    <n v="0"/>
    <n v="25419"/>
    <n v="0"/>
    <n v="0"/>
    <m/>
    <m/>
    <n v="162236"/>
    <n v="161601"/>
    <n v="143984"/>
    <n v="143482"/>
    <n v="437"/>
    <n v="681"/>
    <n v="17815"/>
    <n v="0"/>
    <n v="0"/>
    <n v="17438"/>
    <n v="0"/>
    <n v="0"/>
    <m/>
    <m/>
  </r>
  <r>
    <x v="13"/>
    <s v="Texas Woman's University"/>
    <s v="Met the criteria for Four-Year 1 in 2016-17 and 2017-18."/>
    <n v="229179"/>
    <x v="1"/>
    <n v="245153"/>
    <n v="242611"/>
    <n v="160385"/>
    <n v="158600"/>
    <n v="6761"/>
    <n v="7477"/>
    <n v="78007"/>
    <n v="0"/>
    <n v="0"/>
    <n v="76534"/>
    <n v="0"/>
    <n v="0"/>
    <m/>
    <m/>
    <n v="93332"/>
    <n v="93586"/>
    <n v="46437"/>
    <n v="46731"/>
    <n v="291"/>
    <n v="315"/>
    <n v="45600"/>
    <n v="1004"/>
    <n v="0"/>
    <n v="45346"/>
    <n v="1194"/>
    <n v="0"/>
    <m/>
    <m/>
  </r>
  <r>
    <x v="13"/>
    <s v="University of Texas at El Paso"/>
    <s v="Met the criteria for Four-Year 1 in 2017-18."/>
    <n v="228796"/>
    <x v="1"/>
    <n v="488892"/>
    <n v="509419"/>
    <n v="400732"/>
    <n v="418745"/>
    <n v="1252"/>
    <n v="1159"/>
    <n v="86908"/>
    <n v="0"/>
    <n v="0"/>
    <n v="89515"/>
    <n v="0"/>
    <n v="0"/>
    <m/>
    <m/>
    <n v="56266"/>
    <n v="58545"/>
    <n v="35113"/>
    <n v="35138"/>
    <n v="2433"/>
    <n v="1073"/>
    <n v="18720"/>
    <n v="0"/>
    <n v="0"/>
    <n v="22334"/>
    <n v="0"/>
    <n v="0"/>
    <m/>
    <m/>
  </r>
  <r>
    <x v="13"/>
    <s v="University of Texas at San Antonio"/>
    <m/>
    <n v="229027"/>
    <x v="0"/>
    <n v="629375"/>
    <n v="653870"/>
    <n v="561782"/>
    <n v="572055"/>
    <n v="2208"/>
    <n v="2272"/>
    <n v="63906"/>
    <n v="1242"/>
    <n v="237"/>
    <n v="78949"/>
    <n v="360"/>
    <n v="234"/>
    <m/>
    <m/>
    <n v="66327"/>
    <n v="68875"/>
    <n v="57463"/>
    <n v="58092"/>
    <n v="2552"/>
    <n v="2764"/>
    <n v="6312"/>
    <n v="0"/>
    <n v="0"/>
    <n v="8019"/>
    <n v="0"/>
    <n v="0"/>
    <m/>
    <m/>
  </r>
  <r>
    <x v="13"/>
    <s v="Angelo State University"/>
    <m/>
    <n v="222831"/>
    <x v="2"/>
    <n v="172033"/>
    <n v="184109"/>
    <n v="149277"/>
    <n v="156479"/>
    <n v="0"/>
    <n v="0"/>
    <n v="22756"/>
    <n v="0"/>
    <n v="0"/>
    <n v="27630"/>
    <n v="0"/>
    <n v="0"/>
    <m/>
    <m/>
    <n v="26146"/>
    <n v="28680"/>
    <n v="8065"/>
    <n v="5590"/>
    <n v="0"/>
    <n v="0"/>
    <n v="18081"/>
    <n v="0"/>
    <n v="0"/>
    <n v="23090"/>
    <n v="0"/>
    <n v="0"/>
    <m/>
    <m/>
  </r>
  <r>
    <x v="13"/>
    <s v="Lamar University"/>
    <m/>
    <n v="226091"/>
    <x v="2"/>
    <n v="223457"/>
    <n v="227875"/>
    <n v="153234"/>
    <n v="149996"/>
    <n v="455"/>
    <n v="288"/>
    <n v="69768"/>
    <n v="0"/>
    <n v="0"/>
    <n v="77591"/>
    <n v="0"/>
    <n v="0"/>
    <m/>
    <m/>
    <n v="115496"/>
    <n v="108868"/>
    <n v="23096"/>
    <n v="14603"/>
    <n v="93"/>
    <n v="0"/>
    <n v="92262"/>
    <n v="45"/>
    <n v="0"/>
    <n v="94265"/>
    <n v="0"/>
    <n v="0"/>
    <m/>
    <m/>
  </r>
  <r>
    <x v="13"/>
    <s v="Midwestern State University"/>
    <m/>
    <n v="226833"/>
    <x v="2"/>
    <n v="129348"/>
    <n v="127691"/>
    <n v="105541"/>
    <n v="104696"/>
    <n v="1388"/>
    <n v="1218"/>
    <n v="22389"/>
    <n v="30"/>
    <n v="0"/>
    <n v="21727"/>
    <n v="50"/>
    <n v="0"/>
    <m/>
    <m/>
    <n v="10160"/>
    <n v="10174"/>
    <n v="4317"/>
    <n v="3841"/>
    <n v="51"/>
    <n v="21"/>
    <n v="5792"/>
    <n v="0"/>
    <n v="0"/>
    <n v="6312"/>
    <n v="0"/>
    <n v="0"/>
    <m/>
    <m/>
  </r>
  <r>
    <x v="13"/>
    <s v="Prairie View A &amp; M University"/>
    <m/>
    <n v="227526"/>
    <x v="2"/>
    <n v="199378"/>
    <n v="213590"/>
    <n v="180457"/>
    <n v="194375"/>
    <n v="9320"/>
    <n v="8541"/>
    <n v="9415"/>
    <n v="186"/>
    <n v="0"/>
    <n v="10548"/>
    <n v="126"/>
    <n v="0"/>
    <m/>
    <m/>
    <n v="23232"/>
    <n v="21439"/>
    <n v="8123"/>
    <n v="8406"/>
    <n v="5320"/>
    <n v="3994"/>
    <n v="9789"/>
    <n v="0"/>
    <n v="0"/>
    <n v="9030"/>
    <n v="9"/>
    <n v="0"/>
    <m/>
    <m/>
  </r>
  <r>
    <x v="13"/>
    <s v="Sam Houston State University "/>
    <m/>
    <n v="227881"/>
    <x v="2"/>
    <n v="469292"/>
    <n v="481856"/>
    <n v="361040"/>
    <n v="362379"/>
    <n v="5301"/>
    <n v="2302"/>
    <n v="102951"/>
    <n v="0"/>
    <n v="0"/>
    <n v="117175"/>
    <n v="0"/>
    <n v="0"/>
    <m/>
    <m/>
    <n v="40010"/>
    <n v="39757"/>
    <n v="17369"/>
    <n v="16707"/>
    <n v="123"/>
    <n v="87"/>
    <n v="22509"/>
    <n v="9"/>
    <n v="0"/>
    <n v="22942"/>
    <n v="21"/>
    <n v="0"/>
    <m/>
    <m/>
  </r>
  <r>
    <x v="13"/>
    <s v="Stephen F. Austin State University"/>
    <m/>
    <n v="228431"/>
    <x v="2"/>
    <n v="288003"/>
    <n v="289238"/>
    <n v="234910"/>
    <n v="234060"/>
    <n v="1826"/>
    <n v="2460"/>
    <n v="51087"/>
    <n v="180"/>
    <n v="0"/>
    <n v="52461"/>
    <n v="221"/>
    <n v="36"/>
    <m/>
    <m/>
    <n v="29213"/>
    <n v="28942"/>
    <n v="14200"/>
    <n v="13035"/>
    <n v="313"/>
    <n v="273"/>
    <n v="14372"/>
    <n v="247"/>
    <n v="81"/>
    <n v="15409"/>
    <n v="150"/>
    <n v="75"/>
    <m/>
    <m/>
  </r>
  <r>
    <x v="13"/>
    <s v="Sul Ross State University "/>
    <m/>
    <n v="228501"/>
    <x v="2"/>
    <n v="34659"/>
    <n v="35579"/>
    <n v="29354"/>
    <n v="29048"/>
    <n v="288"/>
    <n v="514"/>
    <n v="4543"/>
    <n v="474"/>
    <n v="0"/>
    <n v="5473"/>
    <n v="544"/>
    <n v="0"/>
    <m/>
    <m/>
    <n v="10567"/>
    <n v="9341"/>
    <n v="2395"/>
    <n v="2117"/>
    <n v="108"/>
    <n v="54"/>
    <n v="8064"/>
    <n v="0"/>
    <n v="0"/>
    <n v="7170"/>
    <n v="0"/>
    <n v="0"/>
    <m/>
    <m/>
  </r>
  <r>
    <x v="13"/>
    <s v="Tarleton State University"/>
    <m/>
    <n v="228529"/>
    <x v="2"/>
    <n v="284468"/>
    <n v="287851"/>
    <n v="206842"/>
    <n v="206570"/>
    <n v="22960"/>
    <n v="21516"/>
    <n v="54223"/>
    <n v="443"/>
    <n v="0"/>
    <n v="59393"/>
    <n v="354"/>
    <n v="18"/>
    <m/>
    <m/>
    <n v="23938"/>
    <n v="25624"/>
    <n v="4558"/>
    <n v="4874"/>
    <n v="4987"/>
    <n v="3863"/>
    <n v="14273"/>
    <n v="120"/>
    <n v="0"/>
    <n v="16851"/>
    <n v="36"/>
    <n v="0"/>
    <m/>
    <m/>
  </r>
  <r>
    <x v="13"/>
    <s v="Texas A &amp; M International University"/>
    <m/>
    <n v="226152"/>
    <x v="2"/>
    <n v="160783"/>
    <n v="166962"/>
    <n v="143047"/>
    <n v="143507"/>
    <n v="824"/>
    <n v="1374"/>
    <n v="16609"/>
    <n v="303"/>
    <n v="0"/>
    <n v="22081"/>
    <n v="0"/>
    <n v="0"/>
    <m/>
    <m/>
    <n v="13235"/>
    <n v="13664"/>
    <n v="7990"/>
    <n v="7524"/>
    <n v="24"/>
    <n v="75"/>
    <n v="5221"/>
    <n v="0"/>
    <n v="0"/>
    <n v="6065"/>
    <n v="0"/>
    <n v="0"/>
    <m/>
    <m/>
  </r>
  <r>
    <x v="13"/>
    <s v="Texas A &amp; M University - Commerce"/>
    <m/>
    <n v="224554"/>
    <x v="2"/>
    <n v="186744"/>
    <n v="192113"/>
    <n v="100778"/>
    <n v="99295"/>
    <n v="12182"/>
    <n v="11951"/>
    <n v="66434"/>
    <n v="228"/>
    <n v="7122"/>
    <n v="73936"/>
    <n v="57"/>
    <n v="6874"/>
    <m/>
    <m/>
    <n v="82396"/>
    <n v="81828"/>
    <n v="15332"/>
    <n v="14047"/>
    <n v="6738"/>
    <n v="6170"/>
    <n v="60065"/>
    <n v="261"/>
    <n v="0"/>
    <n v="61383"/>
    <n v="228"/>
    <n v="0"/>
    <m/>
    <m/>
  </r>
  <r>
    <x v="13"/>
    <s v="Texas A &amp; M University-Corpus Christi "/>
    <m/>
    <n v="224147"/>
    <x v="2"/>
    <n v="238653"/>
    <n v="241433"/>
    <n v="238098"/>
    <n v="211941"/>
    <n v="0"/>
    <n v="0"/>
    <n v="468"/>
    <n v="0"/>
    <n v="87"/>
    <n v="29457"/>
    <n v="35"/>
    <n v="0"/>
    <m/>
    <m/>
    <n v="32609"/>
    <n v="35287"/>
    <n v="31118"/>
    <n v="13746"/>
    <n v="0"/>
    <n v="0"/>
    <n v="1491"/>
    <n v="0"/>
    <n v="0"/>
    <n v="21538"/>
    <n v="3"/>
    <n v="0"/>
    <m/>
    <m/>
  </r>
  <r>
    <x v="13"/>
    <s v="Texas A &amp; M University-Kingsville"/>
    <m/>
    <n v="228705"/>
    <x v="2"/>
    <n v="164439"/>
    <n v="163193"/>
    <n v="140479"/>
    <n v="138207"/>
    <n v="9985"/>
    <n v="10113"/>
    <n v="13126"/>
    <n v="849"/>
    <n v="0"/>
    <n v="14211"/>
    <n v="653"/>
    <n v="9"/>
    <m/>
    <m/>
    <n v="53236"/>
    <n v="39100"/>
    <n v="41955"/>
    <n v="29295"/>
    <n v="84"/>
    <n v="3"/>
    <n v="10837"/>
    <n v="360"/>
    <n v="0"/>
    <n v="9484"/>
    <n v="318"/>
    <n v="0"/>
    <m/>
    <m/>
  </r>
  <r>
    <x v="13"/>
    <s v="Texas Southern University "/>
    <s v="Met the criteria for Four-Year 2 in 2016-17 and 2017-18."/>
    <n v="229063"/>
    <x v="2"/>
    <n v="177455"/>
    <n v="200044"/>
    <n v="166799"/>
    <n v="180873"/>
    <n v="0"/>
    <n v="0"/>
    <n v="0"/>
    <n v="0"/>
    <n v="10656"/>
    <n v="0"/>
    <n v="0"/>
    <n v="19171"/>
    <m/>
    <m/>
    <n v="51866"/>
    <n v="53428"/>
    <n v="45188"/>
    <n v="45056"/>
    <n v="27"/>
    <n v="12"/>
    <n v="0"/>
    <n v="0"/>
    <n v="6651"/>
    <n v="0"/>
    <n v="0"/>
    <n v="8360"/>
    <m/>
    <m/>
  </r>
  <r>
    <x v="13"/>
    <s v="Texas State University"/>
    <m/>
    <n v="228459"/>
    <x v="1"/>
    <n v="868584"/>
    <n v="874668"/>
    <n v="792770"/>
    <n v="783119"/>
    <n v="24296"/>
    <n v="28080"/>
    <n v="50117"/>
    <n v="528"/>
    <n v="873"/>
    <n v="63010"/>
    <n v="414"/>
    <n v="45"/>
    <m/>
    <m/>
    <n v="73976"/>
    <n v="75155"/>
    <n v="54880"/>
    <n v="48806"/>
    <n v="6660"/>
    <n v="10876"/>
    <n v="10844"/>
    <n v="1230"/>
    <n v="362"/>
    <n v="14391"/>
    <n v="684"/>
    <n v="398"/>
    <m/>
    <m/>
  </r>
  <r>
    <x v="13"/>
    <s v="University of Houston-Clear Lake "/>
    <m/>
    <n v="225414"/>
    <x v="2"/>
    <n v="123529"/>
    <n v="129026"/>
    <n v="88027"/>
    <n v="92447"/>
    <n v="7755"/>
    <n v="7845"/>
    <n v="27747"/>
    <n v="0"/>
    <n v="0"/>
    <n v="28734"/>
    <n v="0"/>
    <n v="0"/>
    <m/>
    <m/>
    <n v="52421"/>
    <n v="42680"/>
    <n v="35622"/>
    <n v="27217"/>
    <n v="3011"/>
    <n v="3065"/>
    <n v="13788"/>
    <n v="0"/>
    <n v="0"/>
    <n v="12398"/>
    <n v="0"/>
    <n v="0"/>
    <m/>
    <m/>
  </r>
  <r>
    <x v="13"/>
    <s v="University of Texas - Rio Grande Valley"/>
    <m/>
    <n v="227368"/>
    <x v="2"/>
    <n v="618641"/>
    <n v="636779"/>
    <n v="484474"/>
    <n v="464072"/>
    <n v="1563"/>
    <n v="1598"/>
    <n v="119555"/>
    <n v="13049"/>
    <n v="0"/>
    <n v="150157"/>
    <n v="20952"/>
    <n v="0"/>
    <m/>
    <m/>
    <n v="59540"/>
    <n v="59039"/>
    <n v="26138"/>
    <n v="24359"/>
    <n v="1647"/>
    <n v="1602"/>
    <n v="29709"/>
    <n v="2046"/>
    <n v="0"/>
    <n v="29940"/>
    <n v="3138"/>
    <n v="0"/>
    <m/>
    <m/>
  </r>
  <r>
    <x v="13"/>
    <s v="University of Texas at Tyler"/>
    <m/>
    <n v="228802"/>
    <x v="2"/>
    <n v="160931"/>
    <n v="168423"/>
    <n v="96723"/>
    <n v="94792"/>
    <n v="11135"/>
    <n v="12982"/>
    <n v="52776"/>
    <n v="297"/>
    <n v="0"/>
    <n v="60184"/>
    <n v="465"/>
    <n v="0"/>
    <m/>
    <m/>
    <n v="41108"/>
    <n v="42879"/>
    <n v="7389"/>
    <n v="7126"/>
    <n v="54"/>
    <n v="36"/>
    <n v="33626"/>
    <n v="39"/>
    <n v="0"/>
    <n v="35639"/>
    <n v="78"/>
    <n v="0"/>
    <m/>
    <m/>
  </r>
  <r>
    <x v="13"/>
    <s v="University of Texas of the Permian Basin"/>
    <m/>
    <n v="229018"/>
    <x v="2"/>
    <n v="114670"/>
    <n v="119104"/>
    <n v="58969"/>
    <n v="57275"/>
    <n v="133"/>
    <n v="53"/>
    <n v="55568"/>
    <n v="0"/>
    <n v="0"/>
    <n v="61776"/>
    <n v="0"/>
    <n v="0"/>
    <m/>
    <m/>
    <n v="11436"/>
    <n v="11832"/>
    <n v="3108"/>
    <n v="2289"/>
    <n v="0"/>
    <n v="0"/>
    <n v="8328"/>
    <n v="0"/>
    <n v="0"/>
    <n v="9543"/>
    <n v="0"/>
    <n v="0"/>
    <m/>
    <m/>
  </r>
  <r>
    <x v="13"/>
    <s v="West Texas A &amp; M University"/>
    <m/>
    <n v="229814"/>
    <x v="2"/>
    <n v="190819"/>
    <n v="188023"/>
    <n v="146158"/>
    <n v="141050"/>
    <n v="0"/>
    <n v="0"/>
    <n v="44661"/>
    <n v="0"/>
    <n v="0"/>
    <n v="46973"/>
    <n v="0"/>
    <n v="0"/>
    <m/>
    <m/>
    <n v="36617"/>
    <n v="39347"/>
    <n v="9158"/>
    <n v="7955"/>
    <n v="0"/>
    <n v="0"/>
    <n v="27459"/>
    <n v="0"/>
    <n v="0"/>
    <n v="31392"/>
    <n v="0"/>
    <n v="0"/>
    <m/>
    <m/>
  </r>
  <r>
    <x v="13"/>
    <s v="Texas A &amp; M -Texarkana"/>
    <m/>
    <n v="483036"/>
    <x v="3"/>
    <n v="37373"/>
    <n v="40017"/>
    <n v="20620"/>
    <n v="21435"/>
    <n v="2112"/>
    <n v="1788"/>
    <n v="14557"/>
    <n v="84"/>
    <n v="0"/>
    <n v="16710"/>
    <n v="84"/>
    <n v="0"/>
    <m/>
    <m/>
    <n v="5827"/>
    <n v="6018"/>
    <n v="2032"/>
    <n v="1419"/>
    <n v="570"/>
    <n v="474"/>
    <n v="3786"/>
    <n v="9"/>
    <n v="0"/>
    <n v="4125"/>
    <n v="0"/>
    <n v="0"/>
    <m/>
    <m/>
  </r>
  <r>
    <x v="13"/>
    <s v="Texas A &amp; M University - Central Texas"/>
    <m/>
    <n v="224545"/>
    <x v="3"/>
    <n v="41705"/>
    <n v="41186"/>
    <n v="21042"/>
    <n v="19937"/>
    <n v="2894"/>
    <n v="2482"/>
    <n v="17712"/>
    <n v="57"/>
    <n v="0"/>
    <n v="18665"/>
    <n v="102"/>
    <n v="0"/>
    <m/>
    <m/>
    <n v="10721"/>
    <n v="10359"/>
    <n v="5306"/>
    <n v="5382"/>
    <n v="66"/>
    <n v="105"/>
    <n v="4845"/>
    <n v="0"/>
    <n v="0"/>
    <n v="4872"/>
    <n v="0"/>
    <n v="0"/>
    <m/>
    <m/>
  </r>
  <r>
    <x v="13"/>
    <s v="University of Houston-Victoria"/>
    <m/>
    <n v="225502"/>
    <x v="3"/>
    <n v="66020"/>
    <n v="68024"/>
    <n v="22349"/>
    <n v="22227"/>
    <n v="4539"/>
    <n v="4306"/>
    <n v="37026"/>
    <n v="2106"/>
    <n v="0"/>
    <n v="38197"/>
    <n v="3294"/>
    <n v="0"/>
    <m/>
    <m/>
    <n v="15878"/>
    <n v="17853"/>
    <n v="414"/>
    <n v="423"/>
    <n v="1947"/>
    <n v="1680"/>
    <n v="14891"/>
    <n v="507"/>
    <n v="0"/>
    <n v="15060"/>
    <n v="690"/>
    <n v="0"/>
    <m/>
    <m/>
  </r>
  <r>
    <x v="13"/>
    <s v="Sul Ross State University-Rio Grande College"/>
    <s v="Met the criteria for Four-Year 6 in 2017-18."/>
    <s v="228501B"/>
    <x v="4"/>
    <n v="15705"/>
    <n v="15669"/>
    <n v="3177"/>
    <n v="2823"/>
    <n v="0"/>
    <n v="0"/>
    <n v="7281"/>
    <n v="5247"/>
    <n v="0"/>
    <n v="7533"/>
    <n v="5313"/>
    <n v="0"/>
    <m/>
    <m/>
    <n v="4308"/>
    <n v="2295"/>
    <n v="939"/>
    <n v="1026"/>
    <n v="0"/>
    <n v="0"/>
    <n v="1107"/>
    <n v="315"/>
    <n v="0"/>
    <n v="1113"/>
    <n v="156"/>
    <n v="0"/>
    <m/>
    <m/>
  </r>
  <r>
    <x v="13"/>
    <s v="Texas A &amp; M University - San Antonio"/>
    <m/>
    <n v="870501"/>
    <x v="4"/>
    <n v="88219"/>
    <n v="115358"/>
    <n v="70110"/>
    <n v="74875"/>
    <n v="2641"/>
    <n v="2219"/>
    <n v="13041"/>
    <n v="0"/>
    <n v="2427"/>
    <n v="32105"/>
    <n v="0"/>
    <n v="6159"/>
    <m/>
    <m/>
    <n v="12969"/>
    <n v="15136"/>
    <n v="9297"/>
    <n v="5961"/>
    <n v="201"/>
    <n v="132"/>
    <n v="2682"/>
    <n v="0"/>
    <n v="990"/>
    <n v="6529"/>
    <n v="0"/>
    <n v="2514"/>
    <m/>
    <m/>
  </r>
  <r>
    <x v="13"/>
    <s v="University of Houston-Downtown"/>
    <s v="Met the criteria for Four-Year 4 in 2017-18."/>
    <n v="225432"/>
    <x v="4"/>
    <n v="259353"/>
    <n v="253072"/>
    <n v="139172"/>
    <n v="131754"/>
    <n v="9275"/>
    <n v="7752"/>
    <n v="110886"/>
    <n v="20"/>
    <n v="0"/>
    <n v="113566"/>
    <n v="0"/>
    <n v="0"/>
    <m/>
    <m/>
    <n v="22469"/>
    <n v="27896"/>
    <n v="1913"/>
    <n v="2624"/>
    <n v="36"/>
    <n v="0"/>
    <n v="20355"/>
    <n v="0"/>
    <n v="0"/>
    <n v="25272"/>
    <n v="0"/>
    <n v="0"/>
    <m/>
    <m/>
  </r>
  <r>
    <x v="13"/>
    <s v="Texas A &amp; M University at Galveston"/>
    <m/>
    <n v="228714"/>
    <x v="4"/>
    <n v="62241"/>
    <n v="63002"/>
    <n v="57215"/>
    <n v="52487"/>
    <n v="3050"/>
    <n v="8218"/>
    <n v="1912"/>
    <n v="0"/>
    <n v="64"/>
    <n v="2265"/>
    <n v="0"/>
    <n v="32"/>
    <m/>
    <m/>
    <n v="2569"/>
    <n v="2551"/>
    <n v="2110"/>
    <n v="1772"/>
    <n v="97"/>
    <n v="92"/>
    <n v="423"/>
    <n v="0"/>
    <n v="0"/>
    <n v="687"/>
    <n v="0"/>
    <n v="0"/>
    <m/>
    <m/>
  </r>
  <r>
    <x v="13"/>
    <s v="Brazosport College "/>
    <m/>
    <n v="223506"/>
    <x v="13"/>
    <n v="76185"/>
    <n v="75644"/>
    <n v="52596"/>
    <n v="51398"/>
    <n v="4999"/>
    <n v="4888"/>
    <n v="18590"/>
    <n v="0"/>
    <n v="0"/>
    <n v="19358"/>
    <n v="0"/>
    <n v="0"/>
    <m/>
    <m/>
    <n v="97"/>
    <n v="0"/>
    <n v="0"/>
    <n v="0"/>
    <n v="0"/>
    <n v="0"/>
    <n v="0"/>
    <n v="0"/>
    <n v="0"/>
    <n v="0"/>
    <n v="0"/>
    <n v="0"/>
    <m/>
    <m/>
  </r>
  <r>
    <x v="13"/>
    <s v="Midland College "/>
    <m/>
    <n v="226806"/>
    <x v="13"/>
    <n v="113676"/>
    <n v="110696"/>
    <n v="59021"/>
    <n v="58662"/>
    <n v="8915"/>
    <n v="9666"/>
    <n v="44958"/>
    <n v="782"/>
    <n v="0"/>
    <n v="41859"/>
    <n v="509"/>
    <n v="0"/>
    <m/>
    <m/>
    <n v="0"/>
    <n v="0"/>
    <n v="0"/>
    <n v="0"/>
    <n v="0"/>
    <n v="0"/>
    <n v="0"/>
    <n v="0"/>
    <n v="0"/>
    <n v="0"/>
    <n v="0"/>
    <n v="0"/>
    <m/>
    <m/>
  </r>
  <r>
    <x v="13"/>
    <s v="South Texas College"/>
    <m/>
    <n v="409315"/>
    <x v="13"/>
    <n v="628886"/>
    <n v="621531"/>
    <n v="501486"/>
    <n v="485008"/>
    <n v="0"/>
    <n v="0"/>
    <n v="123559"/>
    <n v="0"/>
    <n v="3841"/>
    <n v="128040"/>
    <n v="0"/>
    <n v="8483"/>
    <m/>
    <m/>
    <n v="0"/>
    <n v="0"/>
    <n v="0"/>
    <n v="0"/>
    <n v="0"/>
    <n v="0"/>
    <n v="0"/>
    <n v="0"/>
    <n v="0"/>
    <n v="0"/>
    <n v="0"/>
    <n v="0"/>
    <m/>
    <m/>
  </r>
  <r>
    <x v="13"/>
    <s v="Amarillo College "/>
    <m/>
    <n v="222576"/>
    <x v="6"/>
    <n v="161997"/>
    <n v="158515"/>
    <n v="85447"/>
    <n v="83798"/>
    <n v="13938"/>
    <n v="7738"/>
    <n v="62612"/>
    <n v="0"/>
    <n v="0"/>
    <n v="66979"/>
    <n v="0"/>
    <n v="0"/>
    <m/>
    <m/>
    <n v="0"/>
    <n v="0"/>
    <n v="0"/>
    <n v="0"/>
    <n v="0"/>
    <n v="0"/>
    <n v="0"/>
    <n v="0"/>
    <n v="0"/>
    <n v="0"/>
    <n v="0"/>
    <n v="0"/>
    <m/>
    <m/>
  </r>
  <r>
    <x v="13"/>
    <s v="Austin Community College "/>
    <m/>
    <n v="222992"/>
    <x v="6"/>
    <n v="722059"/>
    <n v="712916"/>
    <n v="550706"/>
    <n v="532488"/>
    <n v="44990"/>
    <n v="47618"/>
    <n v="126363"/>
    <n v="0"/>
    <n v="0"/>
    <n v="132810"/>
    <n v="0"/>
    <n v="0"/>
    <m/>
    <m/>
    <n v="0"/>
    <n v="0"/>
    <n v="0"/>
    <n v="0"/>
    <n v="0"/>
    <n v="0"/>
    <n v="0"/>
    <n v="0"/>
    <n v="0"/>
    <n v="0"/>
    <n v="0"/>
    <n v="0"/>
    <m/>
    <m/>
  </r>
  <r>
    <x v="13"/>
    <s v="Blinn College "/>
    <m/>
    <n v="223427"/>
    <x v="6"/>
    <n v="411099"/>
    <n v="405102"/>
    <n v="52245"/>
    <n v="51670"/>
    <n v="263569"/>
    <n v="253330"/>
    <n v="94757"/>
    <n v="528"/>
    <n v="0"/>
    <n v="100075"/>
    <n v="27"/>
    <n v="0"/>
    <m/>
    <m/>
    <n v="0"/>
    <n v="0"/>
    <n v="0"/>
    <n v="0"/>
    <n v="0"/>
    <n v="0"/>
    <n v="0"/>
    <n v="0"/>
    <n v="0"/>
    <n v="0"/>
    <n v="0"/>
    <n v="0"/>
    <m/>
    <m/>
  </r>
  <r>
    <x v="13"/>
    <s v="Brookhaven College (DCCCD)"/>
    <m/>
    <n v="223524"/>
    <x v="6"/>
    <n v="186878"/>
    <n v="206790"/>
    <n v="116937"/>
    <n v="124335"/>
    <n v="4646"/>
    <n v="3720"/>
    <n v="65295"/>
    <n v="0"/>
    <n v="0"/>
    <n v="78735"/>
    <n v="0"/>
    <n v="0"/>
    <m/>
    <m/>
    <n v="0"/>
    <n v="0"/>
    <n v="0"/>
    <n v="0"/>
    <n v="0"/>
    <n v="0"/>
    <n v="0"/>
    <n v="0"/>
    <n v="0"/>
    <n v="0"/>
    <n v="0"/>
    <n v="0"/>
    <m/>
    <m/>
  </r>
  <r>
    <x v="13"/>
    <s v="Central Texas College "/>
    <m/>
    <n v="223816"/>
    <x v="6"/>
    <n v="245705"/>
    <n v="232530"/>
    <n v="78350"/>
    <n v="76591"/>
    <n v="34068"/>
    <n v="29042"/>
    <n v="121107"/>
    <n v="156"/>
    <n v="12024"/>
    <n v="126716"/>
    <n v="181"/>
    <n v="0"/>
    <m/>
    <m/>
    <n v="0"/>
    <n v="0"/>
    <n v="0"/>
    <n v="0"/>
    <n v="0"/>
    <n v="0"/>
    <n v="0"/>
    <n v="0"/>
    <n v="0"/>
    <n v="0"/>
    <n v="0"/>
    <n v="0"/>
    <m/>
    <m/>
  </r>
  <r>
    <x v="13"/>
    <s v="Collin County Community College District"/>
    <m/>
    <n v="247834"/>
    <x v="6"/>
    <n v="550668"/>
    <n v="574457"/>
    <n v="424146"/>
    <n v="430732"/>
    <n v="28596"/>
    <n v="38873"/>
    <n v="97926"/>
    <n v="0"/>
    <n v="0"/>
    <n v="104852"/>
    <n v="0"/>
    <n v="0"/>
    <m/>
    <m/>
    <n v="0"/>
    <n v="0"/>
    <n v="0"/>
    <n v="0"/>
    <n v="0"/>
    <n v="0"/>
    <n v="0"/>
    <n v="0"/>
    <n v="0"/>
    <n v="0"/>
    <n v="0"/>
    <n v="0"/>
    <m/>
    <m/>
  </r>
  <r>
    <x v="13"/>
    <s v="Del Mar College "/>
    <m/>
    <n v="224350"/>
    <x v="6"/>
    <n v="208691"/>
    <n v="210900"/>
    <n v="183582"/>
    <n v="174983"/>
    <n v="4958"/>
    <n v="3702"/>
    <n v="20151"/>
    <n v="0"/>
    <n v="0"/>
    <n v="32080"/>
    <n v="135"/>
    <n v="0"/>
    <m/>
    <m/>
    <n v="0"/>
    <n v="0"/>
    <n v="0"/>
    <n v="0"/>
    <n v="0"/>
    <n v="0"/>
    <n v="0"/>
    <n v="0"/>
    <n v="0"/>
    <n v="0"/>
    <n v="0"/>
    <n v="0"/>
    <m/>
    <m/>
  </r>
  <r>
    <x v="13"/>
    <s v="Eastfield College (DCCCD)"/>
    <m/>
    <n v="224572"/>
    <x v="6"/>
    <n v="234873"/>
    <n v="227532"/>
    <n v="142837"/>
    <n v="117462"/>
    <n v="1302"/>
    <n v="13912"/>
    <n v="90553"/>
    <n v="0"/>
    <n v="181"/>
    <n v="96158"/>
    <n v="0"/>
    <n v="0"/>
    <m/>
    <m/>
    <n v="0"/>
    <n v="0"/>
    <n v="0"/>
    <n v="0"/>
    <n v="0"/>
    <n v="0"/>
    <n v="0"/>
    <n v="0"/>
    <n v="0"/>
    <n v="0"/>
    <n v="0"/>
    <n v="0"/>
    <m/>
    <m/>
  </r>
  <r>
    <x v="13"/>
    <s v="El Centro College  (DCCCD)"/>
    <m/>
    <n v="224615"/>
    <x v="6"/>
    <n v="152355"/>
    <n v="152980"/>
    <n v="98265"/>
    <n v="93889"/>
    <n v="8149"/>
    <n v="9296"/>
    <n v="45941"/>
    <n v="0"/>
    <n v="0"/>
    <n v="49795"/>
    <n v="0"/>
    <n v="0"/>
    <m/>
    <m/>
    <n v="0"/>
    <n v="0"/>
    <n v="0"/>
    <n v="0"/>
    <n v="0"/>
    <n v="0"/>
    <n v="0"/>
    <n v="0"/>
    <n v="0"/>
    <n v="0"/>
    <n v="0"/>
    <n v="0"/>
    <m/>
    <m/>
  </r>
  <r>
    <x v="13"/>
    <s v="El Paso County Community College District"/>
    <m/>
    <n v="224642"/>
    <x v="6"/>
    <n v="523240"/>
    <n v="505868"/>
    <n v="390784"/>
    <n v="368266"/>
    <n v="55742"/>
    <n v="55343"/>
    <n v="76714"/>
    <n v="0"/>
    <n v="0"/>
    <n v="82259"/>
    <n v="0"/>
    <n v="0"/>
    <m/>
    <m/>
    <n v="0"/>
    <n v="0"/>
    <n v="0"/>
    <n v="0"/>
    <n v="0"/>
    <n v="0"/>
    <n v="0"/>
    <n v="0"/>
    <n v="0"/>
    <n v="0"/>
    <n v="0"/>
    <n v="0"/>
    <m/>
    <m/>
  </r>
  <r>
    <x v="13"/>
    <s v="Houston Community College"/>
    <m/>
    <n v="225423"/>
    <x v="6"/>
    <n v="1079180"/>
    <n v="1086042"/>
    <n v="533537"/>
    <n v="539983"/>
    <n v="189212"/>
    <n v="194671"/>
    <n v="356405"/>
    <n v="0"/>
    <n v="26"/>
    <n v="351388"/>
    <n v="0"/>
    <n v="0"/>
    <m/>
    <m/>
    <n v="0"/>
    <n v="0"/>
    <n v="0"/>
    <n v="0"/>
    <n v="0"/>
    <n v="0"/>
    <n v="0"/>
    <n v="0"/>
    <n v="0"/>
    <n v="0"/>
    <n v="0"/>
    <n v="0"/>
    <m/>
    <m/>
  </r>
  <r>
    <x v="13"/>
    <s v="Laredo Community College "/>
    <m/>
    <n v="226134"/>
    <x v="6"/>
    <n v="153689"/>
    <n v="159541"/>
    <n v="120331"/>
    <n v="117828"/>
    <n v="11152"/>
    <n v="16242"/>
    <n v="21321"/>
    <n v="885"/>
    <n v="0"/>
    <n v="24637"/>
    <n v="834"/>
    <n v="0"/>
    <m/>
    <m/>
    <n v="0"/>
    <n v="0"/>
    <n v="0"/>
    <n v="0"/>
    <n v="0"/>
    <n v="0"/>
    <n v="0"/>
    <n v="0"/>
    <n v="0"/>
    <n v="0"/>
    <n v="0"/>
    <n v="0"/>
    <m/>
    <m/>
  </r>
  <r>
    <x v="13"/>
    <s v="Lone Star College System District"/>
    <m/>
    <n v="227182"/>
    <x v="6"/>
    <n v="1316520"/>
    <n v="1270869"/>
    <n v="853609"/>
    <n v="781324"/>
    <n v="98701"/>
    <n v="101107"/>
    <n v="364039"/>
    <n v="108"/>
    <n v="63"/>
    <n v="388318"/>
    <n v="120"/>
    <n v="0"/>
    <m/>
    <m/>
    <n v="0"/>
    <n v="0"/>
    <n v="0"/>
    <n v="0"/>
    <n v="0"/>
    <n v="0"/>
    <n v="0"/>
    <n v="0"/>
    <n v="0"/>
    <n v="0"/>
    <n v="0"/>
    <n v="0"/>
    <m/>
    <m/>
  </r>
  <r>
    <x v="13"/>
    <s v="McLennan Community College "/>
    <m/>
    <n v="226578"/>
    <x v="6"/>
    <n v="181329"/>
    <n v="182697"/>
    <n v="121540"/>
    <n v="118649"/>
    <n v="532"/>
    <n v="393"/>
    <n v="58985"/>
    <n v="272"/>
    <n v="0"/>
    <n v="63505"/>
    <n v="150"/>
    <n v="0"/>
    <m/>
    <m/>
    <n v="0"/>
    <n v="0"/>
    <n v="0"/>
    <n v="0"/>
    <n v="0"/>
    <n v="0"/>
    <n v="0"/>
    <n v="0"/>
    <n v="0"/>
    <n v="0"/>
    <n v="0"/>
    <n v="0"/>
    <m/>
    <m/>
  </r>
  <r>
    <x v="13"/>
    <s v="Navarro College "/>
    <m/>
    <n v="227146"/>
    <x v="6"/>
    <n v="186963"/>
    <n v="178998"/>
    <n v="55639"/>
    <n v="51629"/>
    <n v="79494"/>
    <n v="77331"/>
    <n v="51724"/>
    <n v="0"/>
    <n v="106"/>
    <n v="49862"/>
    <n v="0"/>
    <n v="176"/>
    <m/>
    <m/>
    <n v="0"/>
    <n v="0"/>
    <n v="0"/>
    <n v="0"/>
    <n v="0"/>
    <n v="0"/>
    <n v="0"/>
    <n v="0"/>
    <n v="0"/>
    <n v="0"/>
    <n v="0"/>
    <n v="0"/>
    <m/>
    <m/>
  </r>
  <r>
    <x v="13"/>
    <s v="North Central Texas Community College"/>
    <m/>
    <n v="224110"/>
    <x v="6"/>
    <n v="172233"/>
    <n v="177665"/>
    <n v="24052"/>
    <n v="23418"/>
    <n v="98352"/>
    <n v="96294"/>
    <n v="49220"/>
    <n v="448"/>
    <n v="161"/>
    <n v="57344"/>
    <n v="531"/>
    <n v="78"/>
    <m/>
    <m/>
    <n v="0"/>
    <n v="0"/>
    <n v="0"/>
    <n v="0"/>
    <n v="0"/>
    <n v="0"/>
    <n v="0"/>
    <n v="0"/>
    <n v="0"/>
    <n v="0"/>
    <n v="0"/>
    <n v="0"/>
    <m/>
    <m/>
  </r>
  <r>
    <x v="13"/>
    <s v="North Lake College (DCCCD)"/>
    <m/>
    <n v="227191"/>
    <x v="6"/>
    <n v="166239"/>
    <n v="184285"/>
    <n v="112001"/>
    <n v="114213"/>
    <n v="1308"/>
    <n v="4247"/>
    <n v="52930"/>
    <n v="0"/>
    <n v="0"/>
    <n v="65825"/>
    <n v="0"/>
    <n v="0"/>
    <m/>
    <m/>
    <n v="0"/>
    <n v="0"/>
    <n v="0"/>
    <n v="0"/>
    <n v="0"/>
    <n v="0"/>
    <n v="0"/>
    <n v="0"/>
    <n v="0"/>
    <n v="0"/>
    <n v="0"/>
    <n v="0"/>
    <m/>
    <m/>
  </r>
  <r>
    <x v="13"/>
    <s v="Northwest Vista College (ACCD)"/>
    <m/>
    <n v="420398"/>
    <x v="6"/>
    <n v="295384"/>
    <n v="295407"/>
    <n v="210864"/>
    <n v="202023"/>
    <n v="30309"/>
    <n v="34072"/>
    <n v="54211"/>
    <n v="0"/>
    <n v="0"/>
    <n v="59312"/>
    <n v="0"/>
    <n v="0"/>
    <m/>
    <m/>
    <n v="0"/>
    <n v="0"/>
    <n v="0"/>
    <n v="0"/>
    <n v="0"/>
    <n v="0"/>
    <n v="0"/>
    <n v="0"/>
    <n v="0"/>
    <n v="0"/>
    <n v="0"/>
    <n v="0"/>
    <m/>
    <m/>
  </r>
  <r>
    <x v="13"/>
    <s v="Palo Alto College (ACCD)"/>
    <m/>
    <n v="246354"/>
    <x v="6"/>
    <n v="157928"/>
    <n v="162612"/>
    <n v="97489"/>
    <n v="101363"/>
    <n v="3879"/>
    <n v="3282"/>
    <n v="56560"/>
    <n v="0"/>
    <n v="0"/>
    <n v="57967"/>
    <n v="0"/>
    <n v="0"/>
    <m/>
    <m/>
    <n v="0"/>
    <n v="0"/>
    <n v="0"/>
    <n v="0"/>
    <n v="0"/>
    <n v="0"/>
    <n v="0"/>
    <n v="0"/>
    <n v="0"/>
    <n v="0"/>
    <n v="0"/>
    <n v="0"/>
    <m/>
    <m/>
  </r>
  <r>
    <x v="13"/>
    <s v="Richland College (DCCCD)"/>
    <m/>
    <n v="227766"/>
    <x v="6"/>
    <n v="322308"/>
    <n v="319773"/>
    <n v="211060"/>
    <n v="198576"/>
    <n v="3458"/>
    <n v="5580"/>
    <n v="107790"/>
    <n v="0"/>
    <n v="0"/>
    <n v="115617"/>
    <n v="0"/>
    <n v="0"/>
    <m/>
    <m/>
    <n v="0"/>
    <n v="0"/>
    <n v="0"/>
    <n v="0"/>
    <n v="0"/>
    <n v="0"/>
    <n v="0"/>
    <n v="0"/>
    <n v="0"/>
    <n v="0"/>
    <n v="0"/>
    <n v="0"/>
    <m/>
    <m/>
  </r>
  <r>
    <x v="13"/>
    <s v="San Antonio College (ACCD)"/>
    <m/>
    <n v="227924"/>
    <x v="6"/>
    <n v="348056"/>
    <n v="344161"/>
    <n v="235185"/>
    <n v="225067"/>
    <n v="14341"/>
    <n v="14989"/>
    <n v="98530"/>
    <n v="0"/>
    <n v="0"/>
    <n v="104105"/>
    <n v="0"/>
    <n v="0"/>
    <m/>
    <m/>
    <n v="0"/>
    <n v="0"/>
    <n v="0"/>
    <n v="0"/>
    <n v="0"/>
    <n v="0"/>
    <n v="0"/>
    <n v="0"/>
    <n v="0"/>
    <n v="0"/>
    <n v="0"/>
    <n v="0"/>
    <m/>
    <m/>
  </r>
  <r>
    <x v="13"/>
    <s v="San Jacinto College"/>
    <m/>
    <n v="227979"/>
    <x v="6"/>
    <n v="581128"/>
    <n v="602358"/>
    <n v="474313"/>
    <n v="466687"/>
    <n v="9176"/>
    <n v="10347"/>
    <n v="97585"/>
    <n v="54"/>
    <n v="0"/>
    <n v="125258"/>
    <n v="66"/>
    <n v="0"/>
    <m/>
    <m/>
    <n v="0"/>
    <n v="0"/>
    <n v="0"/>
    <n v="0"/>
    <n v="0"/>
    <n v="0"/>
    <n v="0"/>
    <n v="0"/>
    <n v="0"/>
    <n v="0"/>
    <n v="0"/>
    <n v="0"/>
    <m/>
    <m/>
  </r>
  <r>
    <x v="13"/>
    <s v="South Plains College "/>
    <m/>
    <n v="228158"/>
    <x v="6"/>
    <n v="192940"/>
    <n v="190242"/>
    <n v="85732"/>
    <n v="81734"/>
    <n v="61894"/>
    <n v="59816"/>
    <n v="43559"/>
    <n v="1755"/>
    <n v="0"/>
    <n v="46952"/>
    <n v="1740"/>
    <n v="0"/>
    <m/>
    <m/>
    <n v="0"/>
    <n v="0"/>
    <n v="0"/>
    <n v="0"/>
    <n v="0"/>
    <n v="0"/>
    <n v="0"/>
    <n v="0"/>
    <n v="0"/>
    <n v="0"/>
    <n v="0"/>
    <n v="0"/>
    <m/>
    <m/>
  </r>
  <r>
    <x v="13"/>
    <s v="St. Philip's College (ACCD)"/>
    <m/>
    <n v="227854"/>
    <x v="6"/>
    <n v="185893"/>
    <n v="195244"/>
    <n v="103649"/>
    <n v="105307"/>
    <n v="17397"/>
    <n v="25195"/>
    <n v="64847"/>
    <n v="0"/>
    <n v="0"/>
    <n v="64742"/>
    <n v="0"/>
    <n v="0"/>
    <m/>
    <m/>
    <n v="0"/>
    <n v="0"/>
    <n v="0"/>
    <n v="0"/>
    <n v="0"/>
    <n v="0"/>
    <n v="0"/>
    <n v="0"/>
    <n v="0"/>
    <n v="0"/>
    <n v="0"/>
    <n v="0"/>
    <m/>
    <m/>
  </r>
  <r>
    <x v="13"/>
    <s v="Tarrant County College"/>
    <m/>
    <n v="228547"/>
    <x v="6"/>
    <n v="933437"/>
    <n v="935308"/>
    <n v="729897"/>
    <n v="706591"/>
    <n v="43698"/>
    <n v="52923"/>
    <n v="159842"/>
    <n v="0"/>
    <n v="0"/>
    <n v="175794"/>
    <n v="0"/>
    <n v="0"/>
    <m/>
    <m/>
    <n v="0"/>
    <n v="0"/>
    <n v="0"/>
    <n v="0"/>
    <n v="0"/>
    <n v="0"/>
    <n v="0"/>
    <n v="0"/>
    <n v="0"/>
    <n v="0"/>
    <n v="0"/>
    <n v="0"/>
    <m/>
    <m/>
  </r>
  <r>
    <x v="13"/>
    <s v="Trinity Valley Community College"/>
    <m/>
    <n v="225308"/>
    <x v="6"/>
    <n v="142834"/>
    <n v="139129"/>
    <n v="66925"/>
    <n v="63542"/>
    <n v="31134"/>
    <n v="27524"/>
    <n v="44775"/>
    <n v="0"/>
    <n v="0"/>
    <n v="48063"/>
    <n v="0"/>
    <n v="0"/>
    <m/>
    <m/>
    <n v="0"/>
    <n v="0"/>
    <n v="0"/>
    <n v="0"/>
    <n v="0"/>
    <n v="0"/>
    <n v="0"/>
    <n v="0"/>
    <n v="0"/>
    <n v="0"/>
    <n v="0"/>
    <n v="0"/>
    <m/>
    <m/>
  </r>
  <r>
    <x v="13"/>
    <s v="Tyler Junior College "/>
    <m/>
    <n v="229355"/>
    <x v="6"/>
    <n v="232589"/>
    <n v="240434"/>
    <n v="141873"/>
    <n v="140969"/>
    <n v="17753"/>
    <n v="20994"/>
    <n v="72963"/>
    <n v="0"/>
    <n v="0"/>
    <n v="78435"/>
    <n v="0"/>
    <n v="36"/>
    <m/>
    <m/>
    <n v="0"/>
    <n v="0"/>
    <n v="0"/>
    <n v="0"/>
    <n v="0"/>
    <n v="0"/>
    <n v="0"/>
    <n v="0"/>
    <n v="0"/>
    <n v="0"/>
    <n v="0"/>
    <n v="0"/>
    <m/>
    <m/>
  </r>
  <r>
    <x v="13"/>
    <s v="Alvin Community College "/>
    <m/>
    <n v="222567"/>
    <x v="7"/>
    <n v="105783"/>
    <n v="105982"/>
    <n v="58351"/>
    <n v="55163"/>
    <n v="26162"/>
    <n v="28496"/>
    <n v="21270"/>
    <n v="0"/>
    <n v="0"/>
    <n v="22323"/>
    <n v="0"/>
    <n v="0"/>
    <m/>
    <m/>
    <n v="0"/>
    <n v="0"/>
    <n v="0"/>
    <n v="0"/>
    <n v="0"/>
    <n v="0"/>
    <n v="0"/>
    <n v="0"/>
    <n v="0"/>
    <n v="0"/>
    <n v="0"/>
    <n v="0"/>
    <m/>
    <m/>
  </r>
  <r>
    <x v="13"/>
    <s v="Angelina College "/>
    <m/>
    <n v="222822"/>
    <x v="7"/>
    <n v="96412"/>
    <n v="93331"/>
    <n v="49520"/>
    <n v="49215"/>
    <n v="10293"/>
    <n v="8390"/>
    <n v="25867"/>
    <n v="10714"/>
    <n v="18"/>
    <n v="27742"/>
    <n v="7984"/>
    <n v="0"/>
    <m/>
    <m/>
    <n v="0"/>
    <n v="0"/>
    <n v="0"/>
    <n v="0"/>
    <n v="0"/>
    <n v="0"/>
    <n v="0"/>
    <n v="0"/>
    <n v="0"/>
    <n v="0"/>
    <n v="0"/>
    <n v="0"/>
    <m/>
    <m/>
  </r>
  <r>
    <x v="13"/>
    <s v="Cedar Valley College (DCCCD)"/>
    <m/>
    <n v="223773"/>
    <x v="7"/>
    <n v="109084"/>
    <n v="114039"/>
    <n v="53033"/>
    <n v="50132"/>
    <n v="782"/>
    <n v="6332"/>
    <n v="55269"/>
    <n v="0"/>
    <n v="0"/>
    <n v="57575"/>
    <n v="0"/>
    <n v="0"/>
    <m/>
    <m/>
    <n v="0"/>
    <n v="0"/>
    <n v="0"/>
    <n v="0"/>
    <n v="0"/>
    <n v="0"/>
    <n v="0"/>
    <n v="0"/>
    <n v="0"/>
    <n v="0"/>
    <n v="0"/>
    <n v="0"/>
    <m/>
    <m/>
  </r>
  <r>
    <x v="13"/>
    <s v="Cisco Junior College "/>
    <m/>
    <n v="223898"/>
    <x v="7"/>
    <n v="66812"/>
    <n v="65984"/>
    <n v="10321"/>
    <n v="10442"/>
    <n v="32861"/>
    <n v="30936"/>
    <n v="23129"/>
    <n v="501"/>
    <n v="0"/>
    <n v="24137"/>
    <n v="469"/>
    <n v="0"/>
    <m/>
    <m/>
    <n v="0"/>
    <n v="0"/>
    <n v="0"/>
    <n v="0"/>
    <n v="0"/>
    <n v="0"/>
    <n v="0"/>
    <n v="0"/>
    <n v="0"/>
    <n v="0"/>
    <n v="0"/>
    <n v="0"/>
    <m/>
    <m/>
  </r>
  <r>
    <x v="13"/>
    <s v="Coastal Bend College"/>
    <m/>
    <n v="223320"/>
    <x v="7"/>
    <n v="84095"/>
    <n v="82546"/>
    <n v="18213"/>
    <n v="16280"/>
    <n v="29731"/>
    <n v="27741"/>
    <n v="26571"/>
    <n v="6707"/>
    <n v="2873"/>
    <n v="27574"/>
    <n v="7079"/>
    <n v="3872"/>
    <m/>
    <m/>
    <n v="0"/>
    <n v="0"/>
    <n v="0"/>
    <n v="0"/>
    <n v="0"/>
    <n v="0"/>
    <n v="0"/>
    <n v="0"/>
    <n v="0"/>
    <n v="0"/>
    <n v="0"/>
    <n v="0"/>
    <m/>
    <m/>
  </r>
  <r>
    <x v="13"/>
    <s v="College of the Mainland"/>
    <m/>
    <n v="226408"/>
    <x v="7"/>
    <n v="76951"/>
    <n v="80759"/>
    <n v="52954"/>
    <n v="53258"/>
    <n v="8309"/>
    <n v="7157"/>
    <n v="15688"/>
    <n v="0"/>
    <n v="0"/>
    <n v="20344"/>
    <n v="0"/>
    <n v="0"/>
    <m/>
    <m/>
    <n v="0"/>
    <n v="0"/>
    <n v="0"/>
    <n v="0"/>
    <n v="0"/>
    <n v="0"/>
    <n v="0"/>
    <n v="0"/>
    <n v="0"/>
    <n v="0"/>
    <n v="0"/>
    <n v="0"/>
    <m/>
    <m/>
  </r>
  <r>
    <x v="13"/>
    <s v="Grayson County College "/>
    <m/>
    <n v="225070"/>
    <x v="7"/>
    <n v="89166"/>
    <n v="82555"/>
    <n v="49901"/>
    <n v="46632"/>
    <n v="4878"/>
    <n v="2161"/>
    <n v="31591"/>
    <n v="0"/>
    <n v="2796"/>
    <n v="31671"/>
    <n v="0"/>
    <n v="2091"/>
    <m/>
    <m/>
    <n v="0"/>
    <n v="0"/>
    <n v="0"/>
    <n v="0"/>
    <n v="0"/>
    <n v="0"/>
    <n v="0"/>
    <n v="0"/>
    <n v="0"/>
    <n v="0"/>
    <n v="0"/>
    <n v="0"/>
    <m/>
    <m/>
  </r>
  <r>
    <x v="13"/>
    <s v="Hill College"/>
    <m/>
    <n v="225371"/>
    <x v="7"/>
    <n v="80669"/>
    <n v="83420"/>
    <n v="13350"/>
    <n v="12207"/>
    <n v="32125"/>
    <n v="31819"/>
    <n v="33871"/>
    <n v="1323"/>
    <n v="0"/>
    <n v="38278"/>
    <n v="1116"/>
    <n v="0"/>
    <m/>
    <m/>
    <n v="0"/>
    <n v="0"/>
    <n v="0"/>
    <n v="0"/>
    <n v="0"/>
    <n v="0"/>
    <n v="0"/>
    <n v="0"/>
    <n v="0"/>
    <n v="0"/>
    <n v="0"/>
    <n v="0"/>
    <m/>
    <m/>
  </r>
  <r>
    <x v="13"/>
    <s v="Howard College (HCJCD)"/>
    <m/>
    <n v="225520"/>
    <x v="7"/>
    <n v="64360"/>
    <n v="64852"/>
    <n v="14125"/>
    <n v="13488"/>
    <n v="25488"/>
    <n v="25719"/>
    <n v="22935"/>
    <n v="1812"/>
    <n v="0"/>
    <n v="24861"/>
    <n v="784"/>
    <n v="0"/>
    <m/>
    <m/>
    <n v="0"/>
    <n v="0"/>
    <n v="0"/>
    <n v="0"/>
    <n v="0"/>
    <n v="0"/>
    <n v="0"/>
    <n v="0"/>
    <n v="0"/>
    <n v="0"/>
    <n v="0"/>
    <n v="0"/>
    <m/>
    <m/>
  </r>
  <r>
    <x v="13"/>
    <s v="Kilgore College "/>
    <m/>
    <n v="226019"/>
    <x v="7"/>
    <n v="110550"/>
    <n v="111902"/>
    <n v="62326"/>
    <n v="60846"/>
    <n v="30123"/>
    <n v="31203"/>
    <n v="17270"/>
    <n v="831"/>
    <n v="0"/>
    <n v="19205"/>
    <n v="648"/>
    <n v="0"/>
    <m/>
    <m/>
    <n v="0"/>
    <n v="0"/>
    <n v="0"/>
    <n v="0"/>
    <n v="0"/>
    <n v="0"/>
    <n v="0"/>
    <n v="0"/>
    <n v="0"/>
    <n v="0"/>
    <n v="0"/>
    <n v="0"/>
    <m/>
    <m/>
  </r>
  <r>
    <x v="13"/>
    <s v="Lamar Institute of Technology"/>
    <m/>
    <n v="441760"/>
    <x v="7"/>
    <n v="58211"/>
    <n v="59131"/>
    <n v="49715"/>
    <n v="46185"/>
    <n v="2132"/>
    <n v="3984"/>
    <n v="6322"/>
    <n v="42"/>
    <n v="0"/>
    <n v="8962"/>
    <n v="0"/>
    <n v="0"/>
    <m/>
    <m/>
    <n v="0"/>
    <n v="0"/>
    <n v="0"/>
    <n v="0"/>
    <n v="0"/>
    <n v="0"/>
    <n v="0"/>
    <n v="0"/>
    <n v="0"/>
    <n v="0"/>
    <n v="0"/>
    <n v="0"/>
    <m/>
    <m/>
  </r>
  <r>
    <x v="13"/>
    <s v="Lamar State College-Port Arthur"/>
    <m/>
    <n v="226116"/>
    <x v="8"/>
    <n v="41887"/>
    <n v="44855"/>
    <n v="28462"/>
    <n v="30542"/>
    <n v="7355"/>
    <n v="10563"/>
    <n v="6070"/>
    <n v="0"/>
    <n v="0"/>
    <n v="3750"/>
    <n v="0"/>
    <n v="0"/>
    <m/>
    <m/>
    <n v="0"/>
    <n v="0"/>
    <n v="0"/>
    <n v="0"/>
    <n v="0"/>
    <n v="0"/>
    <n v="0"/>
    <n v="0"/>
    <n v="0"/>
    <n v="0"/>
    <n v="0"/>
    <n v="0"/>
    <m/>
    <m/>
  </r>
  <r>
    <x v="13"/>
    <s v="Lee College "/>
    <s v="Met the criteria for Two-Year 1 in 2016-17 and 2017-18."/>
    <n v="226204"/>
    <x v="7"/>
    <n v="148933"/>
    <n v="152285"/>
    <n v="84562"/>
    <n v="83372"/>
    <n v="42447"/>
    <n v="44840"/>
    <n v="21924"/>
    <n v="0"/>
    <n v="0"/>
    <n v="24073"/>
    <n v="0"/>
    <n v="0"/>
    <m/>
    <m/>
    <n v="0"/>
    <n v="0"/>
    <n v="0"/>
    <n v="0"/>
    <n v="0"/>
    <n v="0"/>
    <n v="0"/>
    <n v="0"/>
    <n v="0"/>
    <n v="0"/>
    <n v="0"/>
    <n v="0"/>
    <m/>
    <m/>
  </r>
  <r>
    <x v="13"/>
    <s v="Mountain View College  (DCCCD)"/>
    <s v="Met the criteria for Two-Year 1 in 2016-17 and 2017-18."/>
    <n v="226930"/>
    <x v="7"/>
    <n v="148939"/>
    <n v="153499"/>
    <n v="102305"/>
    <n v="97225"/>
    <n v="624"/>
    <n v="5481"/>
    <n v="46010"/>
    <n v="0"/>
    <n v="0"/>
    <n v="50793"/>
    <n v="0"/>
    <n v="0"/>
    <m/>
    <m/>
    <n v="0"/>
    <n v="0"/>
    <n v="0"/>
    <n v="0"/>
    <n v="0"/>
    <n v="0"/>
    <n v="0"/>
    <n v="0"/>
    <n v="0"/>
    <n v="0"/>
    <n v="0"/>
    <n v="0"/>
    <m/>
    <m/>
  </r>
  <r>
    <x v="13"/>
    <s v="Northeast Texas Community College "/>
    <m/>
    <n v="227225"/>
    <x v="7"/>
    <n v="60231"/>
    <n v="63489"/>
    <n v="36206"/>
    <n v="32177"/>
    <n v="2515"/>
    <n v="3294"/>
    <n v="21510"/>
    <n v="0"/>
    <n v="0"/>
    <n v="28018"/>
    <n v="0"/>
    <n v="0"/>
    <m/>
    <m/>
    <n v="0"/>
    <n v="0"/>
    <n v="0"/>
    <n v="0"/>
    <n v="0"/>
    <n v="0"/>
    <n v="0"/>
    <n v="0"/>
    <n v="0"/>
    <n v="0"/>
    <n v="0"/>
    <n v="0"/>
    <m/>
    <m/>
  </r>
  <r>
    <x v="13"/>
    <s v="Odessa College "/>
    <m/>
    <n v="227304"/>
    <x v="7"/>
    <n v="108209"/>
    <n v="117064"/>
    <n v="55378"/>
    <n v="59473"/>
    <n v="9319"/>
    <n v="9644"/>
    <n v="43512"/>
    <n v="0"/>
    <n v="0"/>
    <n v="47947"/>
    <n v="0"/>
    <n v="0"/>
    <m/>
    <m/>
    <n v="0"/>
    <n v="0"/>
    <n v="0"/>
    <n v="0"/>
    <n v="0"/>
    <n v="0"/>
    <n v="0"/>
    <n v="0"/>
    <n v="0"/>
    <n v="0"/>
    <n v="0"/>
    <n v="0"/>
    <m/>
    <m/>
  </r>
  <r>
    <x v="13"/>
    <s v="Paris Junior College"/>
    <m/>
    <n v="227401"/>
    <x v="7"/>
    <n v="98644"/>
    <n v="94661"/>
    <n v="24421"/>
    <n v="21690"/>
    <n v="27945"/>
    <n v="26502"/>
    <n v="42463"/>
    <n v="3815"/>
    <n v="0"/>
    <n v="42325"/>
    <n v="4144"/>
    <n v="0"/>
    <m/>
    <m/>
    <n v="0"/>
    <n v="0"/>
    <n v="0"/>
    <n v="0"/>
    <n v="0"/>
    <n v="0"/>
    <n v="0"/>
    <n v="0"/>
    <n v="0"/>
    <n v="0"/>
    <n v="0"/>
    <n v="0"/>
    <m/>
    <m/>
  </r>
  <r>
    <x v="13"/>
    <s v="Southwest Texas Junior College "/>
    <m/>
    <n v="228316"/>
    <x v="7"/>
    <n v="104332"/>
    <n v="112056"/>
    <n v="21380"/>
    <n v="19122"/>
    <n v="56122"/>
    <n v="61308"/>
    <n v="10981"/>
    <n v="15849"/>
    <n v="0"/>
    <n v="14375"/>
    <n v="17251"/>
    <n v="0"/>
    <m/>
    <m/>
    <n v="0"/>
    <n v="0"/>
    <n v="0"/>
    <n v="0"/>
    <n v="0"/>
    <n v="0"/>
    <n v="0"/>
    <n v="0"/>
    <n v="0"/>
    <n v="0"/>
    <n v="0"/>
    <n v="0"/>
    <m/>
    <m/>
  </r>
  <r>
    <x v="13"/>
    <s v="Temple College "/>
    <m/>
    <n v="228608"/>
    <x v="7"/>
    <n v="100313"/>
    <n v="97228"/>
    <n v="53849"/>
    <n v="50513"/>
    <n v="14640"/>
    <n v="15016"/>
    <n v="31533"/>
    <n v="291"/>
    <n v="0"/>
    <n v="31548"/>
    <n v="151"/>
    <n v="0"/>
    <m/>
    <m/>
    <n v="0"/>
    <n v="0"/>
    <n v="0"/>
    <n v="0"/>
    <n v="0"/>
    <n v="0"/>
    <n v="0"/>
    <n v="0"/>
    <n v="0"/>
    <n v="0"/>
    <n v="0"/>
    <n v="0"/>
    <m/>
    <m/>
  </r>
  <r>
    <x v="13"/>
    <s v="Texarkana College "/>
    <m/>
    <n v="228699"/>
    <x v="7"/>
    <n v="74983"/>
    <n v="77413"/>
    <n v="50480"/>
    <n v="48762"/>
    <n v="12848"/>
    <n v="12849"/>
    <n v="11538"/>
    <n v="0"/>
    <n v="117"/>
    <n v="15712"/>
    <n v="0"/>
    <n v="90"/>
    <m/>
    <m/>
    <n v="0"/>
    <n v="0"/>
    <n v="0"/>
    <n v="0"/>
    <n v="0"/>
    <n v="0"/>
    <n v="0"/>
    <n v="0"/>
    <n v="0"/>
    <n v="0"/>
    <n v="0"/>
    <n v="0"/>
    <m/>
    <m/>
  </r>
  <r>
    <x v="13"/>
    <s v="Texas Southmost College "/>
    <m/>
    <n v="229072"/>
    <x v="7"/>
    <n v="77121"/>
    <n v="89951"/>
    <n v="64300"/>
    <n v="69711"/>
    <n v="12785"/>
    <n v="19082"/>
    <n v="36"/>
    <n v="0"/>
    <n v="0"/>
    <n v="1158"/>
    <n v="0"/>
    <n v="0"/>
    <m/>
    <m/>
    <n v="0"/>
    <n v="0"/>
    <n v="0"/>
    <n v="0"/>
    <n v="0"/>
    <n v="0"/>
    <n v="0"/>
    <n v="0"/>
    <n v="0"/>
    <n v="0"/>
    <n v="0"/>
    <n v="0"/>
    <m/>
    <m/>
  </r>
  <r>
    <x v="13"/>
    <s v="Texas State Technical College-Harlingen "/>
    <m/>
    <n v="229319"/>
    <x v="7"/>
    <n v="115260"/>
    <n v="113339"/>
    <n v="93554"/>
    <n v="95019"/>
    <n v="14216"/>
    <n v="10007"/>
    <n v="7490"/>
    <n v="0"/>
    <n v="0"/>
    <n v="8313"/>
    <n v="0"/>
    <n v="0"/>
    <m/>
    <m/>
    <n v="0"/>
    <n v="0"/>
    <n v="0"/>
    <n v="0"/>
    <n v="0"/>
    <n v="0"/>
    <n v="0"/>
    <n v="0"/>
    <n v="0"/>
    <n v="0"/>
    <n v="0"/>
    <n v="0"/>
    <m/>
    <m/>
  </r>
  <r>
    <x v="13"/>
    <s v="Texas State Technical College-Waco"/>
    <m/>
    <n v="228680"/>
    <x v="7"/>
    <n v="110929"/>
    <n v="109332"/>
    <n v="100846"/>
    <n v="95328"/>
    <n v="4301"/>
    <n v="5618"/>
    <n v="5782"/>
    <n v="0"/>
    <n v="0"/>
    <n v="8386"/>
    <n v="0"/>
    <n v="0"/>
    <m/>
    <m/>
    <n v="0"/>
    <n v="0"/>
    <n v="0"/>
    <n v="0"/>
    <n v="0"/>
    <n v="0"/>
    <n v="0"/>
    <n v="0"/>
    <n v="0"/>
    <n v="0"/>
    <n v="0"/>
    <n v="0"/>
    <m/>
    <m/>
  </r>
  <r>
    <x v="13"/>
    <s v="Vernon College "/>
    <m/>
    <n v="229504"/>
    <x v="7"/>
    <n v="58630"/>
    <n v="59803"/>
    <n v="8667"/>
    <n v="8863"/>
    <n v="29362"/>
    <n v="30553"/>
    <n v="17113"/>
    <n v="3431"/>
    <n v="57"/>
    <n v="17075"/>
    <n v="3273"/>
    <n v="39"/>
    <m/>
    <m/>
    <n v="0"/>
    <n v="0"/>
    <n v="0"/>
    <n v="0"/>
    <n v="0"/>
    <n v="0"/>
    <n v="0"/>
    <n v="0"/>
    <n v="0"/>
    <n v="0"/>
    <n v="0"/>
    <n v="0"/>
    <m/>
    <m/>
  </r>
  <r>
    <x v="13"/>
    <s v="Victoria College "/>
    <m/>
    <n v="229540"/>
    <x v="7"/>
    <n v="68422"/>
    <n v="70100"/>
    <n v="44702"/>
    <n v="45544"/>
    <n v="4077"/>
    <n v="3567"/>
    <n v="16609"/>
    <n v="3034"/>
    <n v="0"/>
    <n v="18096"/>
    <n v="2893"/>
    <n v="0"/>
    <m/>
    <m/>
    <n v="0"/>
    <n v="0"/>
    <n v="0"/>
    <n v="0"/>
    <n v="0"/>
    <n v="0"/>
    <n v="0"/>
    <n v="0"/>
    <n v="0"/>
    <n v="0"/>
    <n v="0"/>
    <n v="0"/>
    <m/>
    <m/>
  </r>
  <r>
    <x v="13"/>
    <s v="Weatherford College "/>
    <m/>
    <n v="229799"/>
    <x v="7"/>
    <n v="107472"/>
    <n v="114921"/>
    <n v="59630"/>
    <n v="61260"/>
    <n v="13563"/>
    <n v="15199"/>
    <n v="33016"/>
    <n v="906"/>
    <n v="357"/>
    <n v="37393"/>
    <n v="765"/>
    <n v="304"/>
    <m/>
    <m/>
    <n v="0"/>
    <n v="0"/>
    <n v="0"/>
    <n v="0"/>
    <n v="0"/>
    <n v="0"/>
    <n v="0"/>
    <n v="0"/>
    <n v="0"/>
    <n v="0"/>
    <n v="0"/>
    <n v="0"/>
    <m/>
    <m/>
  </r>
  <r>
    <x v="13"/>
    <s v="Wharton County Junior College "/>
    <m/>
    <n v="229841"/>
    <x v="7"/>
    <n v="143334"/>
    <n v="142601"/>
    <n v="33245"/>
    <n v="34000"/>
    <n v="82107"/>
    <n v="82042"/>
    <n v="25026"/>
    <n v="2956"/>
    <n v="0"/>
    <n v="24287"/>
    <n v="2272"/>
    <n v="0"/>
    <m/>
    <m/>
    <n v="0"/>
    <n v="0"/>
    <n v="0"/>
    <n v="0"/>
    <n v="0"/>
    <n v="0"/>
    <n v="0"/>
    <n v="0"/>
    <n v="0"/>
    <n v="0"/>
    <n v="0"/>
    <n v="0"/>
    <m/>
    <m/>
  </r>
  <r>
    <x v="13"/>
    <s v="Clarendon College "/>
    <m/>
    <n v="223922"/>
    <x v="8"/>
    <n v="28964"/>
    <n v="30961"/>
    <n v="9827"/>
    <n v="10597"/>
    <n v="9441"/>
    <n v="10508"/>
    <n v="8954"/>
    <n v="742"/>
    <n v="0"/>
    <n v="9316"/>
    <n v="540"/>
    <n v="0"/>
    <m/>
    <m/>
    <n v="0"/>
    <n v="0"/>
    <n v="0"/>
    <n v="0"/>
    <n v="0"/>
    <n v="0"/>
    <n v="0"/>
    <n v="0"/>
    <n v="0"/>
    <n v="0"/>
    <n v="0"/>
    <n v="0"/>
    <m/>
    <m/>
  </r>
  <r>
    <x v="13"/>
    <s v="Frank Phillips College "/>
    <m/>
    <n v="224891"/>
    <x v="8"/>
    <n v="27725"/>
    <n v="26644"/>
    <n v="16180"/>
    <n v="14714"/>
    <n v="3818"/>
    <n v="3661"/>
    <n v="2928"/>
    <n v="51"/>
    <n v="4748"/>
    <n v="4964"/>
    <n v="15"/>
    <n v="3290"/>
    <m/>
    <m/>
    <n v="0"/>
    <n v="0"/>
    <n v="0"/>
    <n v="0"/>
    <n v="0"/>
    <n v="0"/>
    <n v="0"/>
    <n v="0"/>
    <n v="0"/>
    <n v="0"/>
    <n v="0"/>
    <n v="0"/>
    <m/>
    <m/>
  </r>
  <r>
    <x v="13"/>
    <s v="Galveston College "/>
    <m/>
    <n v="224961"/>
    <x v="8"/>
    <n v="41820"/>
    <n v="42153"/>
    <n v="26419"/>
    <n v="25147"/>
    <n v="186"/>
    <n v="165"/>
    <n v="15215"/>
    <n v="0"/>
    <n v="0"/>
    <n v="16841"/>
    <n v="0"/>
    <n v="0"/>
    <m/>
    <m/>
    <n v="0"/>
    <n v="0"/>
    <n v="0"/>
    <n v="0"/>
    <n v="0"/>
    <n v="0"/>
    <n v="0"/>
    <n v="0"/>
    <n v="0"/>
    <n v="0"/>
    <n v="0"/>
    <n v="0"/>
    <m/>
    <m/>
  </r>
  <r>
    <x v="13"/>
    <s v="Lamar State College-Orange"/>
    <m/>
    <n v="226107"/>
    <x v="8"/>
    <n v="45710"/>
    <n v="44527"/>
    <n v="30151"/>
    <n v="28975"/>
    <n v="1891"/>
    <n v="435"/>
    <n v="13668"/>
    <n v="0"/>
    <n v="0"/>
    <n v="15117"/>
    <n v="0"/>
    <n v="0"/>
    <m/>
    <m/>
    <n v="0"/>
    <n v="0"/>
    <n v="0"/>
    <n v="0"/>
    <n v="0"/>
    <n v="0"/>
    <n v="0"/>
    <n v="0"/>
    <n v="0"/>
    <n v="0"/>
    <n v="0"/>
    <n v="0"/>
    <m/>
    <m/>
  </r>
  <r>
    <x v="13"/>
    <s v="Northeast Lakeview College (ACCD)"/>
    <m/>
    <n v="488730"/>
    <x v="8"/>
    <n v="55613"/>
    <n v="55857"/>
    <n v="44078"/>
    <n v="45414"/>
    <n v="0"/>
    <n v="0"/>
    <n v="11535"/>
    <n v="0"/>
    <n v="0"/>
    <n v="10443"/>
    <n v="0"/>
    <n v="0"/>
    <m/>
    <m/>
    <n v="0"/>
    <n v="0"/>
    <n v="0"/>
    <n v="0"/>
    <n v="0"/>
    <n v="0"/>
    <n v="0"/>
    <n v="0"/>
    <n v="0"/>
    <n v="0"/>
    <n v="0"/>
    <n v="0"/>
    <m/>
    <m/>
  </r>
  <r>
    <x v="13"/>
    <s v="Panola College"/>
    <m/>
    <n v="227386"/>
    <x v="8"/>
    <n v="57116"/>
    <n v="57184"/>
    <n v="22515"/>
    <n v="23042"/>
    <n v="7538"/>
    <n v="6949"/>
    <n v="26189"/>
    <n v="874"/>
    <n v="0"/>
    <n v="26638"/>
    <n v="555"/>
    <n v="0"/>
    <m/>
    <m/>
    <n v="0"/>
    <n v="0"/>
    <n v="0"/>
    <n v="0"/>
    <n v="0"/>
    <n v="0"/>
    <n v="0"/>
    <n v="0"/>
    <n v="0"/>
    <n v="0"/>
    <n v="0"/>
    <n v="0"/>
    <m/>
    <m/>
  </r>
  <r>
    <x v="13"/>
    <s v="Ranger College "/>
    <m/>
    <n v="227687"/>
    <x v="8"/>
    <n v="45356"/>
    <n v="47436"/>
    <n v="11274"/>
    <n v="10374"/>
    <n v="17950"/>
    <n v="18790"/>
    <n v="13214"/>
    <n v="2902"/>
    <n v="16"/>
    <n v="15068"/>
    <n v="3074"/>
    <n v="130"/>
    <m/>
    <m/>
    <n v="0"/>
    <n v="0"/>
    <n v="0"/>
    <n v="0"/>
    <n v="0"/>
    <n v="0"/>
    <n v="0"/>
    <n v="0"/>
    <n v="0"/>
    <n v="0"/>
    <n v="0"/>
    <n v="0"/>
    <m/>
    <m/>
  </r>
  <r>
    <x v="13"/>
    <s v="Southwest Collegiate Institute for the Deaf (HCJCD)"/>
    <m/>
    <n v="382911"/>
    <x v="8"/>
    <n v="2223"/>
    <n v="2095"/>
    <n v="2038"/>
    <n v="1840"/>
    <n v="36"/>
    <n v="105"/>
    <n v="0"/>
    <n v="149"/>
    <n v="0"/>
    <n v="9"/>
    <n v="141"/>
    <n v="0"/>
    <m/>
    <m/>
    <n v="0"/>
    <n v="0"/>
    <n v="0"/>
    <n v="0"/>
    <n v="0"/>
    <n v="0"/>
    <n v="0"/>
    <n v="0"/>
    <n v="0"/>
    <n v="0"/>
    <n v="0"/>
    <n v="0"/>
    <m/>
    <m/>
  </r>
  <r>
    <x v="13"/>
    <s v="Texas State Technical College-Marshall"/>
    <m/>
    <n v="408394"/>
    <x v="8"/>
    <n v="20976"/>
    <n v="17266"/>
    <n v="13949"/>
    <n v="12021"/>
    <n v="2360"/>
    <n v="955"/>
    <n v="4667"/>
    <n v="0"/>
    <n v="0"/>
    <n v="4290"/>
    <n v="0"/>
    <n v="0"/>
    <m/>
    <m/>
    <n v="0"/>
    <n v="0"/>
    <n v="0"/>
    <n v="0"/>
    <n v="0"/>
    <n v="0"/>
    <n v="0"/>
    <n v="0"/>
    <n v="0"/>
    <n v="0"/>
    <n v="0"/>
    <n v="0"/>
    <m/>
    <m/>
  </r>
  <r>
    <x v="13"/>
    <s v="Texas State Technical College-West Texas"/>
    <m/>
    <n v="229328"/>
    <x v="8"/>
    <n v="27876"/>
    <n v="30125"/>
    <n v="5500"/>
    <n v="8788"/>
    <n v="5286"/>
    <n v="7703"/>
    <n v="17090"/>
    <n v="0"/>
    <n v="0"/>
    <n v="13634"/>
    <n v="0"/>
    <n v="0"/>
    <m/>
    <m/>
    <n v="0"/>
    <n v="0"/>
    <n v="0"/>
    <n v="0"/>
    <n v="0"/>
    <n v="0"/>
    <n v="0"/>
    <n v="0"/>
    <n v="0"/>
    <n v="0"/>
    <n v="0"/>
    <n v="0"/>
    <m/>
    <m/>
  </r>
  <r>
    <x v="13"/>
    <s v="Western Texas College "/>
    <m/>
    <n v="229832"/>
    <x v="8"/>
    <n v="45744"/>
    <n v="45765"/>
    <n v="12341"/>
    <n v="13053"/>
    <n v="6992"/>
    <n v="5093"/>
    <n v="22963"/>
    <n v="3312"/>
    <n v="136"/>
    <n v="25234"/>
    <n v="2385"/>
    <n v="0"/>
    <m/>
    <m/>
    <n v="0"/>
    <n v="0"/>
    <n v="0"/>
    <n v="0"/>
    <n v="0"/>
    <n v="0"/>
    <n v="0"/>
    <n v="0"/>
    <n v="0"/>
    <n v="0"/>
    <n v="0"/>
    <n v="0"/>
    <m/>
    <m/>
  </r>
  <r>
    <x v="13"/>
    <s v="University of North Texas at Dallas"/>
    <s v="New fall 2009. No degrees yet granted."/>
    <n v="443711"/>
    <x v="8"/>
    <n v="50174"/>
    <n v="61641"/>
    <n v="25224"/>
    <n v="32032"/>
    <n v="57"/>
    <n v="15"/>
    <n v="24893"/>
    <n v="0"/>
    <n v="0"/>
    <n v="29594"/>
    <n v="0"/>
    <n v="0"/>
    <m/>
    <m/>
    <n v="5690"/>
    <n v="16175"/>
    <n v="1572"/>
    <n v="2256"/>
    <n v="9061"/>
    <n v="9810"/>
    <n v="4118"/>
    <n v="0"/>
    <n v="0"/>
    <n v="4109"/>
    <n v="0"/>
    <n v="0"/>
    <m/>
    <m/>
  </r>
  <r>
    <x v="13"/>
    <s v="Texas State Technical College-North Texas"/>
    <s v="New Fall 2016"/>
    <s v="N/A"/>
    <x v="8"/>
    <n v="2566"/>
    <n v="6008"/>
    <n v="0"/>
    <n v="0"/>
    <n v="1273"/>
    <n v="2323"/>
    <n v="1293"/>
    <n v="0"/>
    <n v="0"/>
    <n v="3685"/>
    <n v="0"/>
    <n v="0"/>
    <m/>
    <m/>
    <n v="9061"/>
    <n v="0"/>
    <n v="0"/>
    <n v="0"/>
    <n v="0"/>
    <n v="0"/>
    <n v="0"/>
    <n v="0"/>
    <n v="0"/>
    <n v="0"/>
    <n v="0"/>
    <n v="0"/>
    <m/>
    <m/>
  </r>
  <r>
    <x v="13"/>
    <s v="Texas State Technical College-Fort Bend"/>
    <s v="New Fall 2016"/>
    <s v="N/A"/>
    <x v="8"/>
    <n v="2830"/>
    <n v="9537"/>
    <n v="2830"/>
    <n v="7681"/>
    <n v="0"/>
    <n v="0"/>
    <n v="0"/>
    <n v="0"/>
    <n v="0"/>
    <n v="1856"/>
    <n v="0"/>
    <n v="0"/>
    <m/>
    <m/>
    <n v="0"/>
    <n v="0"/>
    <n v="0"/>
    <n v="0"/>
    <n v="0"/>
    <n v="0"/>
    <n v="0"/>
    <n v="0"/>
    <n v="0"/>
    <n v="0"/>
    <n v="0"/>
    <n v="0"/>
    <m/>
    <m/>
  </r>
  <r>
    <x v="14"/>
    <s v="George Mason University "/>
    <m/>
    <n v="232186"/>
    <x v="0"/>
    <n v="664410.5"/>
    <n v="694269"/>
    <n v="580186"/>
    <n v="598291"/>
    <n v="16411.5"/>
    <n v="15954"/>
    <n v="63494"/>
    <n v="4319"/>
    <n v="0"/>
    <n v="75611"/>
    <n v="4413"/>
    <m/>
    <m/>
    <m/>
    <n v="163197.29999999999"/>
    <n v="166655"/>
    <n v="123276.3"/>
    <n v="121763"/>
    <n v="16771.5"/>
    <n v="17736"/>
    <n v="17321.5"/>
    <n v="5828"/>
    <n v="0"/>
    <n v="21684.5"/>
    <n v="5471.5"/>
    <m/>
    <m/>
    <m/>
  </r>
  <r>
    <x v="14"/>
    <s v="Old Dominion University "/>
    <m/>
    <n v="232982"/>
    <x v="0"/>
    <n v="522046"/>
    <n v="514112"/>
    <n v="402965"/>
    <n v="379205"/>
    <n v="600"/>
    <n v="123"/>
    <n v="95460"/>
    <n v="22748"/>
    <n v="273"/>
    <n v="113591"/>
    <n v="20957"/>
    <n v="236"/>
    <m/>
    <m/>
    <n v="66269"/>
    <n v="68109"/>
    <n v="35786"/>
    <n v="34404"/>
    <n v="682"/>
    <n v="400"/>
    <n v="16174"/>
    <n v="11237"/>
    <n v="2390"/>
    <n v="19348"/>
    <n v="11664"/>
    <n v="2293"/>
    <m/>
    <m/>
  </r>
  <r>
    <x v="14"/>
    <s v="University of Virginia"/>
    <m/>
    <n v="234076"/>
    <x v="0"/>
    <n v="490977"/>
    <n v="490976.5"/>
    <n v="461361"/>
    <n v="467098.5"/>
    <n v="23703"/>
    <n v="17081"/>
    <n v="5022"/>
    <n v="891"/>
    <n v="0"/>
    <n v="5789"/>
    <n v="1008"/>
    <m/>
    <m/>
    <m/>
    <n v="182309"/>
    <n v="189753.5"/>
    <n v="164835"/>
    <n v="169051"/>
    <n v="7889.5"/>
    <n v="10212"/>
    <n v="8411.5"/>
    <n v="1173"/>
    <n v="0"/>
    <n v="9147"/>
    <n v="1343.5"/>
    <m/>
    <m/>
    <m/>
  </r>
  <r>
    <x v="14"/>
    <s v="Virginia Commonwealth University"/>
    <m/>
    <n v="234030"/>
    <x v="0"/>
    <n v="656069"/>
    <n v="653057"/>
    <n v="597274"/>
    <n v="587135"/>
    <n v="7031"/>
    <n v="8343"/>
    <n v="51359"/>
    <n v="405"/>
    <n v="0"/>
    <n v="56796"/>
    <n v="783"/>
    <m/>
    <m/>
    <m/>
    <n v="132818"/>
    <n v="132449.5"/>
    <n v="117527"/>
    <n v="115769.5"/>
    <n v="5009"/>
    <n v="4600"/>
    <n v="9201"/>
    <n v="1081"/>
    <n v="0"/>
    <n v="11570"/>
    <n v="510"/>
    <m/>
    <m/>
    <m/>
  </r>
  <r>
    <x v="14"/>
    <s v="Virginia Tech "/>
    <m/>
    <n v="233921"/>
    <x v="0"/>
    <n v="802141"/>
    <n v="825930"/>
    <n v="778112"/>
    <n v="802681"/>
    <n v="214"/>
    <n v="267"/>
    <n v="23150"/>
    <n v="665"/>
    <n v="0"/>
    <n v="21678"/>
    <n v="1304"/>
    <m/>
    <m/>
    <m/>
    <n v="149300"/>
    <n v="150006"/>
    <n v="115779"/>
    <n v="114608"/>
    <n v="19638"/>
    <n v="19771"/>
    <n v="9949"/>
    <n v="3934"/>
    <n v="0"/>
    <n v="10971"/>
    <n v="4656"/>
    <m/>
    <m/>
    <m/>
  </r>
  <r>
    <x v="14"/>
    <s v="College of William &amp; Mary"/>
    <m/>
    <n v="231624"/>
    <x v="1"/>
    <n v="186363.6"/>
    <n v="186460.5"/>
    <n v="181414"/>
    <n v="180682.5"/>
    <n v="4498.6000000000004"/>
    <n v="5127"/>
    <n v="396"/>
    <n v="55"/>
    <n v="0"/>
    <n v="635"/>
    <n v="16"/>
    <m/>
    <m/>
    <m/>
    <n v="57893"/>
    <n v="61157.5"/>
    <n v="50255.5"/>
    <n v="50384"/>
    <n v="5229.5"/>
    <n v="5022.5"/>
    <n v="2408"/>
    <n v="0"/>
    <n v="0"/>
    <n v="5631"/>
    <n v="120"/>
    <m/>
    <m/>
    <m/>
  </r>
  <r>
    <x v="14"/>
    <s v="James Madison University"/>
    <s v="Met the criteria for Four-Year 2 in 2017-18."/>
    <n v="232423"/>
    <x v="2"/>
    <n v="581349"/>
    <n v="587745"/>
    <n v="546202"/>
    <n v="545870"/>
    <n v="10735"/>
    <n v="11733"/>
    <n v="24412"/>
    <n v="0"/>
    <n v="0"/>
    <n v="30142"/>
    <n v="0"/>
    <m/>
    <m/>
    <m/>
    <n v="35245"/>
    <n v="35265"/>
    <n v="26943"/>
    <n v="25614"/>
    <n v="2931"/>
    <n v="3060"/>
    <n v="5371"/>
    <n v="0"/>
    <n v="0"/>
    <n v="6591"/>
    <n v="0"/>
    <m/>
    <m/>
    <m/>
  </r>
  <r>
    <x v="14"/>
    <s v="Longwood University "/>
    <m/>
    <n v="232566"/>
    <x v="2"/>
    <n v="132132.5"/>
    <n v="128203.5"/>
    <n v="116915.5"/>
    <n v="112452.5"/>
    <n v="1924"/>
    <n v="2635"/>
    <n v="13203"/>
    <n v="90"/>
    <n v="0"/>
    <n v="13095"/>
    <n v="21"/>
    <m/>
    <m/>
    <m/>
    <n v="8217"/>
    <n v="9908"/>
    <n v="3481"/>
    <n v="3936"/>
    <n v="1426"/>
    <n v="2763"/>
    <n v="3157"/>
    <n v="153"/>
    <n v="0"/>
    <n v="3125"/>
    <n v="84"/>
    <m/>
    <m/>
    <m/>
  </r>
  <r>
    <x v="14"/>
    <s v="Norfolk State University "/>
    <m/>
    <n v="232937"/>
    <x v="2"/>
    <n v="128336"/>
    <n v="127997"/>
    <n v="99458"/>
    <n v="100320"/>
    <n v="3264"/>
    <n v="1109"/>
    <n v="25614"/>
    <n v="0"/>
    <n v="0"/>
    <n v="26568"/>
    <n v="0"/>
    <m/>
    <m/>
    <m/>
    <n v="11338"/>
    <n v="11736"/>
    <n v="8917"/>
    <n v="9093"/>
    <n v="0"/>
    <n v="0"/>
    <n v="2421"/>
    <n v="0"/>
    <n v="0"/>
    <n v="2643"/>
    <n v="0"/>
    <m/>
    <m/>
    <m/>
  </r>
  <r>
    <x v="14"/>
    <s v="Radford University"/>
    <m/>
    <n v="233277"/>
    <x v="2"/>
    <n v="254959"/>
    <n v="248697.5"/>
    <n v="225818"/>
    <n v="218310"/>
    <n v="3987"/>
    <n v="3788.5"/>
    <n v="23340"/>
    <n v="1814"/>
    <n v="0"/>
    <n v="25066"/>
    <n v="1533"/>
    <m/>
    <m/>
    <m/>
    <n v="19458"/>
    <n v="20776"/>
    <n v="11161"/>
    <n v="10895"/>
    <n v="3955"/>
    <n v="3882"/>
    <n v="2658"/>
    <n v="1684"/>
    <n v="0"/>
    <n v="4133"/>
    <n v="1866"/>
    <m/>
    <m/>
    <m/>
  </r>
  <r>
    <x v="14"/>
    <s v="University of Mary Washington "/>
    <m/>
    <n v="232681"/>
    <x v="2"/>
    <n v="120594"/>
    <n v="122638"/>
    <n v="113630"/>
    <n v="114512"/>
    <n v="0"/>
    <n v="0"/>
    <n v="6806"/>
    <n v="158"/>
    <n v="0"/>
    <n v="8015"/>
    <n v="111"/>
    <m/>
    <m/>
    <m/>
    <n v="5559"/>
    <n v="6063"/>
    <n v="4140.6000000000004"/>
    <n v="4053.2"/>
    <n v="0"/>
    <n v="0"/>
    <n v="1406.4"/>
    <n v="12"/>
    <n v="0"/>
    <n v="2009.8"/>
    <n v="0"/>
    <m/>
    <m/>
    <m/>
  </r>
  <r>
    <x v="14"/>
    <s v="Virginia State University "/>
    <m/>
    <n v="234155"/>
    <x v="2"/>
    <n v="126013.9"/>
    <n v="127084.1"/>
    <n v="121306.9"/>
    <n v="117214.1"/>
    <n v="3668"/>
    <n v="540"/>
    <n v="1039"/>
    <n v="0"/>
    <n v="0"/>
    <n v="9330"/>
    <n v="0"/>
    <m/>
    <m/>
    <m/>
    <n v="7008"/>
    <n v="6759"/>
    <n v="6996"/>
    <n v="6621"/>
    <n v="6"/>
    <n v="27"/>
    <n v="6"/>
    <n v="0"/>
    <n v="0"/>
    <n v="111"/>
    <n v="0"/>
    <m/>
    <m/>
    <m/>
  </r>
  <r>
    <x v="14"/>
    <s v="Christopher Newport University"/>
    <s v="Met the criteria for Four-Year 4 in 2016-17 and 2017-18."/>
    <n v="231712"/>
    <x v="4"/>
    <n v="145990"/>
    <n v="144046"/>
    <n v="145310"/>
    <n v="143280"/>
    <n v="680"/>
    <n v="766"/>
    <n v="0"/>
    <n v="0"/>
    <n v="0"/>
    <n v="0"/>
    <n v="0"/>
    <m/>
    <m/>
    <m/>
    <n v="3280"/>
    <n v="3412"/>
    <n v="3235"/>
    <n v="3355"/>
    <n v="45"/>
    <n v="57"/>
    <n v="0"/>
    <n v="0"/>
    <n v="0"/>
    <n v="0"/>
    <m/>
    <m/>
    <m/>
    <m/>
  </r>
  <r>
    <x v="14"/>
    <s v="University of Virginia's College at Wise "/>
    <m/>
    <n v="233897"/>
    <x v="5"/>
    <n v="49831"/>
    <n v="47928"/>
    <n v="40021"/>
    <n v="37089"/>
    <n v="0"/>
    <n v="0"/>
    <n v="9810"/>
    <n v="0"/>
    <n v="0"/>
    <n v="10839"/>
    <n v="0"/>
    <m/>
    <m/>
    <m/>
    <n v="0"/>
    <n v="0"/>
    <m/>
    <m/>
    <m/>
    <m/>
    <m/>
    <m/>
    <m/>
    <m/>
    <m/>
    <m/>
    <m/>
    <m/>
  </r>
  <r>
    <x v="14"/>
    <s v="J.S. Reynolds Community College"/>
    <m/>
    <n v="232414"/>
    <x v="6"/>
    <n v="199882"/>
    <n v="180457"/>
    <n v="120995"/>
    <n v="103895"/>
    <n v="8783"/>
    <n v="12870"/>
    <n v="69894"/>
    <n v="210"/>
    <n v="0"/>
    <n v="63602"/>
    <n v="90"/>
    <m/>
    <m/>
    <m/>
    <n v="0"/>
    <n v="0"/>
    <m/>
    <m/>
    <m/>
    <m/>
    <m/>
    <m/>
    <m/>
    <m/>
    <m/>
    <m/>
    <m/>
    <m/>
  </r>
  <r>
    <x v="14"/>
    <s v="John Tyler Community College"/>
    <m/>
    <n v="232450"/>
    <x v="6"/>
    <n v="163021"/>
    <n v="164559"/>
    <n v="89583"/>
    <n v="87885"/>
    <n v="23201"/>
    <n v="24470"/>
    <n v="50150"/>
    <n v="87"/>
    <n v="0"/>
    <n v="52086"/>
    <n v="118"/>
    <m/>
    <m/>
    <m/>
    <n v="0"/>
    <n v="0"/>
    <m/>
    <m/>
    <m/>
    <m/>
    <m/>
    <m/>
    <m/>
    <m/>
    <m/>
    <m/>
    <m/>
    <m/>
  </r>
  <r>
    <x v="14"/>
    <s v="Northern Virginia Community College "/>
    <m/>
    <n v="232946"/>
    <x v="6"/>
    <n v="1002472.5"/>
    <n v="978221"/>
    <n v="700777.5"/>
    <n v="672226"/>
    <n v="67143"/>
    <n v="78830"/>
    <n v="233006"/>
    <n v="1546"/>
    <n v="0"/>
    <n v="226022"/>
    <n v="1143"/>
    <m/>
    <m/>
    <m/>
    <n v="0"/>
    <n v="0"/>
    <m/>
    <m/>
    <m/>
    <m/>
    <m/>
    <m/>
    <m/>
    <m/>
    <m/>
    <m/>
    <m/>
    <m/>
  </r>
  <r>
    <x v="14"/>
    <s v="Thomas Nelson Community College "/>
    <m/>
    <n v="233754"/>
    <x v="6"/>
    <n v="175424"/>
    <n v="161970"/>
    <n v="109936"/>
    <n v="95114"/>
    <n v="9254"/>
    <n v="13134"/>
    <n v="55878"/>
    <n v="356"/>
    <n v="0"/>
    <n v="53618"/>
    <n v="104"/>
    <m/>
    <m/>
    <m/>
    <n v="0"/>
    <n v="0"/>
    <m/>
    <m/>
    <m/>
    <m/>
    <m/>
    <m/>
    <m/>
    <m/>
    <m/>
    <m/>
    <m/>
    <m/>
  </r>
  <r>
    <x v="14"/>
    <s v="Tidewater Community College "/>
    <m/>
    <n v="233772"/>
    <x v="6"/>
    <n v="500999"/>
    <n v="463965"/>
    <n v="317431"/>
    <n v="286767"/>
    <n v="29914"/>
    <n v="30441"/>
    <n v="153524"/>
    <n v="130"/>
    <n v="0"/>
    <n v="146642"/>
    <n v="115"/>
    <m/>
    <m/>
    <m/>
    <n v="0"/>
    <n v="0"/>
    <m/>
    <m/>
    <m/>
    <m/>
    <m/>
    <m/>
    <m/>
    <m/>
    <m/>
    <m/>
    <m/>
    <m/>
  </r>
  <r>
    <x v="14"/>
    <s v="Blue Ridge Community College "/>
    <m/>
    <n v="231536"/>
    <x v="7"/>
    <n v="76637"/>
    <n v="72356"/>
    <n v="39625"/>
    <n v="35543"/>
    <n v="8107"/>
    <n v="8127"/>
    <n v="28905"/>
    <n v="0"/>
    <n v="0"/>
    <n v="28686"/>
    <n v="0"/>
    <m/>
    <m/>
    <m/>
    <n v="0"/>
    <n v="0"/>
    <m/>
    <m/>
    <m/>
    <m/>
    <m/>
    <m/>
    <m/>
    <m/>
    <m/>
    <m/>
    <m/>
    <m/>
  </r>
  <r>
    <x v="14"/>
    <s v="Central Virginia Community College "/>
    <m/>
    <n v="231697"/>
    <x v="7"/>
    <n v="75380"/>
    <n v="73003"/>
    <n v="42513"/>
    <n v="39901"/>
    <n v="13556"/>
    <n v="14245"/>
    <n v="15348"/>
    <n v="3963"/>
    <n v="0"/>
    <n v="15364"/>
    <n v="3493"/>
    <m/>
    <m/>
    <m/>
    <n v="0"/>
    <n v="0"/>
    <m/>
    <m/>
    <m/>
    <m/>
    <m/>
    <m/>
    <m/>
    <m/>
    <m/>
    <m/>
    <m/>
    <m/>
  </r>
  <r>
    <x v="14"/>
    <s v="Danville Community College "/>
    <s v="Met the criteria for Two-Year 3 in 2016-17 and 2017-18. "/>
    <n v="231882"/>
    <x v="7"/>
    <n v="64255"/>
    <n v="58158"/>
    <n v="35695"/>
    <n v="27684"/>
    <n v="20783"/>
    <n v="22609"/>
    <n v="7249"/>
    <n v="528"/>
    <n v="0"/>
    <n v="6960"/>
    <n v="905"/>
    <m/>
    <m/>
    <m/>
    <n v="0"/>
    <n v="0"/>
    <m/>
    <m/>
    <m/>
    <m/>
    <m/>
    <m/>
    <m/>
    <m/>
    <m/>
    <m/>
    <m/>
    <m/>
  </r>
  <r>
    <x v="14"/>
    <s v="Germanna Community College"/>
    <m/>
    <n v="232195"/>
    <x v="7"/>
    <n v="125770"/>
    <n v="123961"/>
    <n v="66381"/>
    <n v="64197"/>
    <n v="15742"/>
    <n v="14198"/>
    <n v="31223"/>
    <n v="12424"/>
    <n v="0"/>
    <n v="33105"/>
    <n v="12461"/>
    <m/>
    <m/>
    <m/>
    <n v="0"/>
    <n v="0"/>
    <m/>
    <m/>
    <m/>
    <m/>
    <m/>
    <m/>
    <m/>
    <m/>
    <m/>
    <m/>
    <m/>
    <m/>
  </r>
  <r>
    <x v="14"/>
    <s v="Lord Fairfax Community College"/>
    <m/>
    <n v="232575"/>
    <x v="7"/>
    <n v="117955"/>
    <n v="118021"/>
    <n v="46265"/>
    <n v="42373"/>
    <n v="29822"/>
    <n v="31514"/>
    <n v="34095"/>
    <n v="7773"/>
    <n v="0"/>
    <n v="35064"/>
    <n v="9070"/>
    <m/>
    <m/>
    <m/>
    <n v="0"/>
    <n v="0"/>
    <m/>
    <m/>
    <m/>
    <m/>
    <m/>
    <m/>
    <m/>
    <m/>
    <m/>
    <m/>
    <m/>
    <m/>
  </r>
  <r>
    <x v="14"/>
    <s v="New River Community College "/>
    <m/>
    <n v="232867"/>
    <x v="7"/>
    <n v="84669"/>
    <n v="85066"/>
    <n v="22487"/>
    <n v="20884"/>
    <n v="30174"/>
    <n v="33433"/>
    <n v="31077"/>
    <n v="931"/>
    <n v="0"/>
    <n v="29769"/>
    <n v="980"/>
    <m/>
    <m/>
    <m/>
    <n v="0"/>
    <n v="0"/>
    <m/>
    <m/>
    <m/>
    <m/>
    <m/>
    <m/>
    <m/>
    <m/>
    <m/>
    <m/>
    <m/>
    <m/>
  </r>
  <r>
    <x v="14"/>
    <s v="Patrick Henry Community College "/>
    <s v="Reclassified: Met the criteria for Two-Year 3 in 2015-16, 2016-17, and 2017-18."/>
    <n v="233019"/>
    <x v="8"/>
    <n v="53178"/>
    <n v="48583"/>
    <n v="22645"/>
    <n v="20243"/>
    <n v="9692"/>
    <n v="7603"/>
    <n v="17978"/>
    <n v="2863"/>
    <n v="0"/>
    <n v="17629"/>
    <n v="3108"/>
    <m/>
    <m/>
    <m/>
    <n v="0"/>
    <n v="0"/>
    <m/>
    <m/>
    <m/>
    <m/>
    <m/>
    <m/>
    <m/>
    <m/>
    <m/>
    <m/>
    <m/>
    <m/>
  </r>
  <r>
    <x v="14"/>
    <s v="Piedmont Virginia Community College "/>
    <m/>
    <n v="233116"/>
    <x v="7"/>
    <n v="89759"/>
    <n v="89103"/>
    <n v="53168"/>
    <n v="51709"/>
    <n v="17999"/>
    <n v="19627"/>
    <n v="17905"/>
    <n v="687"/>
    <n v="0"/>
    <n v="17459"/>
    <n v="308"/>
    <m/>
    <m/>
    <m/>
    <n v="0"/>
    <n v="0"/>
    <m/>
    <m/>
    <m/>
    <m/>
    <m/>
    <m/>
    <m/>
    <m/>
    <m/>
    <m/>
    <m/>
    <m/>
  </r>
  <r>
    <x v="14"/>
    <s v="Southside Virginia Community College"/>
    <m/>
    <n v="233639"/>
    <x v="7"/>
    <n v="78764"/>
    <n v="68359"/>
    <n v="20073"/>
    <n v="15905"/>
    <n v="33046"/>
    <n v="30046"/>
    <n v="24621"/>
    <n v="1024"/>
    <n v="0"/>
    <n v="21240"/>
    <n v="1168"/>
    <m/>
    <m/>
    <m/>
    <n v="0"/>
    <n v="0"/>
    <m/>
    <m/>
    <m/>
    <m/>
    <m/>
    <m/>
    <m/>
    <m/>
    <m/>
    <m/>
    <m/>
    <m/>
  </r>
  <r>
    <x v="14"/>
    <s v="Virginia Western Community College "/>
    <m/>
    <n v="233949"/>
    <x v="7"/>
    <n v="137381"/>
    <n v="123469"/>
    <n v="72154"/>
    <n v="66254"/>
    <n v="32519"/>
    <n v="27748"/>
    <n v="24395"/>
    <n v="8313"/>
    <n v="0"/>
    <n v="21656"/>
    <n v="7811"/>
    <m/>
    <m/>
    <m/>
    <n v="0"/>
    <n v="0"/>
    <m/>
    <m/>
    <m/>
    <m/>
    <m/>
    <m/>
    <m/>
    <m/>
    <m/>
    <m/>
    <m/>
    <m/>
  </r>
  <r>
    <x v="14"/>
    <s v="Wytheville Community College "/>
    <s v="Reclassified: Met the criteria for Two-Year 3 in 2015-16, 2016-17, and 2017-18."/>
    <n v="234377"/>
    <x v="8"/>
    <n v="52131"/>
    <n v="49842"/>
    <n v="8938"/>
    <n v="8385"/>
    <n v="15388"/>
    <n v="15031"/>
    <n v="22771"/>
    <n v="5034"/>
    <n v="0"/>
    <n v="21532"/>
    <n v="4894"/>
    <m/>
    <m/>
    <m/>
    <n v="0"/>
    <n v="0"/>
    <m/>
    <m/>
    <m/>
    <m/>
    <m/>
    <m/>
    <m/>
    <m/>
    <m/>
    <m/>
    <m/>
    <m/>
  </r>
  <r>
    <x v="14"/>
    <s v="D.S. Lancaster Community College "/>
    <m/>
    <n v="231873"/>
    <x v="8"/>
    <n v="22561"/>
    <n v="21316"/>
    <n v="9429"/>
    <n v="8644"/>
    <n v="7019"/>
    <n v="6221"/>
    <n v="3334"/>
    <n v="2779"/>
    <n v="0"/>
    <n v="4246"/>
    <n v="2205"/>
    <m/>
    <m/>
    <m/>
    <n v="0"/>
    <n v="0"/>
    <m/>
    <m/>
    <m/>
    <m/>
    <m/>
    <m/>
    <m/>
    <m/>
    <m/>
    <m/>
    <m/>
    <m/>
  </r>
  <r>
    <x v="14"/>
    <s v="Eastern Shore Community College"/>
    <m/>
    <n v="232052"/>
    <x v="8"/>
    <n v="11911"/>
    <n v="11109"/>
    <n v="7785"/>
    <n v="7074"/>
    <n v="2276"/>
    <n v="2351"/>
    <n v="1850"/>
    <n v="0"/>
    <n v="0"/>
    <n v="1684"/>
    <n v="0"/>
    <m/>
    <m/>
    <m/>
    <n v="0"/>
    <n v="0"/>
    <m/>
    <m/>
    <m/>
    <m/>
    <m/>
    <m/>
    <m/>
    <m/>
    <m/>
    <m/>
    <m/>
    <m/>
  </r>
  <r>
    <x v="14"/>
    <s v="Mountain Empire Community College"/>
    <m/>
    <n v="232788"/>
    <x v="8"/>
    <n v="52294"/>
    <n v="50141"/>
    <n v="25056"/>
    <n v="22122"/>
    <n v="9540"/>
    <n v="9522"/>
    <n v="15769"/>
    <n v="1929"/>
    <n v="0"/>
    <n v="16386"/>
    <n v="2111"/>
    <m/>
    <m/>
    <m/>
    <n v="0"/>
    <n v="0"/>
    <m/>
    <m/>
    <m/>
    <m/>
    <m/>
    <m/>
    <m/>
    <m/>
    <m/>
    <m/>
    <m/>
    <m/>
  </r>
  <r>
    <x v="14"/>
    <s v="Paul D. Camp Community College"/>
    <m/>
    <n v="233037"/>
    <x v="8"/>
    <n v="25306"/>
    <n v="24056"/>
    <n v="8219"/>
    <n v="7875"/>
    <n v="6433"/>
    <n v="6388"/>
    <n v="9304"/>
    <n v="1350"/>
    <n v="0"/>
    <n v="9373"/>
    <n v="420"/>
    <m/>
    <m/>
    <m/>
    <n v="0"/>
    <n v="0"/>
    <m/>
    <m/>
    <m/>
    <m/>
    <m/>
    <m/>
    <m/>
    <m/>
    <m/>
    <m/>
    <m/>
    <m/>
  </r>
  <r>
    <x v="14"/>
    <s v="Rappahannock Community College"/>
    <m/>
    <n v="233310"/>
    <x v="8"/>
    <n v="56613"/>
    <n v="56607"/>
    <n v="12218"/>
    <n v="12536"/>
    <n v="18772"/>
    <n v="19258"/>
    <n v="15158"/>
    <n v="10465"/>
    <n v="0"/>
    <n v="15096"/>
    <n v="9717"/>
    <m/>
    <m/>
    <m/>
    <n v="0"/>
    <n v="0"/>
    <m/>
    <m/>
    <m/>
    <m/>
    <m/>
    <m/>
    <m/>
    <m/>
    <m/>
    <m/>
    <m/>
    <m/>
  </r>
  <r>
    <x v="14"/>
    <s v="Richard Bland College "/>
    <m/>
    <n v="233338"/>
    <x v="8"/>
    <n v="38959"/>
    <n v="36873"/>
    <n v="25932"/>
    <n v="22342"/>
    <n v="8796"/>
    <n v="10291"/>
    <n v="4231"/>
    <n v="0"/>
    <n v="0"/>
    <n v="4240"/>
    <n v="0"/>
    <m/>
    <m/>
    <m/>
    <n v="0"/>
    <n v="0"/>
    <m/>
    <m/>
    <m/>
    <m/>
    <m/>
    <m/>
    <m/>
    <m/>
    <m/>
    <m/>
    <m/>
    <m/>
  </r>
  <r>
    <x v="14"/>
    <s v="Southwest Virginia Community College "/>
    <m/>
    <n v="233648"/>
    <x v="8"/>
    <n v="53980"/>
    <n v="49072"/>
    <n v="18190"/>
    <n v="16183"/>
    <n v="9641"/>
    <n v="8871"/>
    <n v="20507"/>
    <n v="5642"/>
    <n v="0"/>
    <n v="19616"/>
    <n v="4402"/>
    <m/>
    <m/>
    <m/>
    <n v="0"/>
    <n v="0"/>
    <m/>
    <m/>
    <m/>
    <m/>
    <m/>
    <m/>
    <m/>
    <m/>
    <m/>
    <m/>
    <m/>
    <m/>
  </r>
  <r>
    <x v="14"/>
    <s v="Virginia Highlands Community College "/>
    <m/>
    <n v="233903"/>
    <x v="8"/>
    <n v="45505"/>
    <n v="44181"/>
    <n v="19743"/>
    <n v="18100"/>
    <n v="8313"/>
    <n v="8540"/>
    <n v="15939"/>
    <n v="1510"/>
    <n v="0"/>
    <n v="15721"/>
    <n v="1820"/>
    <m/>
    <m/>
    <m/>
    <n v="0"/>
    <n v="0"/>
    <m/>
    <m/>
    <m/>
    <m/>
    <m/>
    <m/>
    <m/>
    <m/>
    <m/>
    <m/>
    <m/>
    <m/>
  </r>
  <r>
    <x v="15"/>
    <s v="West Virginia University"/>
    <m/>
    <n v="238032"/>
    <x v="0"/>
    <n v="650502"/>
    <n v="652521"/>
    <n v="580662"/>
    <n v="575572"/>
    <n v="1093"/>
    <n v="1657"/>
    <n v="64955"/>
    <n v="0"/>
    <n v="3792"/>
    <n v="71146"/>
    <n v="0"/>
    <n v="4146"/>
    <n v="0"/>
    <n v="0"/>
    <n v="94979"/>
    <n v="91119"/>
    <n v="63100"/>
    <n v="59921"/>
    <n v="2859"/>
    <n v="4443"/>
    <n v="28405"/>
    <n v="3"/>
    <n v="612"/>
    <n v="26307"/>
    <m/>
    <n v="448"/>
    <n v="0"/>
    <m/>
  </r>
  <r>
    <x v="15"/>
    <s v="Marshall University "/>
    <m/>
    <n v="237525"/>
    <x v="2"/>
    <n v="264382"/>
    <n v="261348"/>
    <n v="203793"/>
    <n v="194603"/>
    <n v="22061"/>
    <n v="22994"/>
    <n v="34898"/>
    <n v="3630"/>
    <n v="0"/>
    <n v="39900"/>
    <n v="3851"/>
    <n v="0"/>
    <n v="0"/>
    <n v="0"/>
    <n v="70208"/>
    <n v="69223"/>
    <n v="36662"/>
    <n v="36625"/>
    <n v="17661"/>
    <n v="16226"/>
    <n v="15040"/>
    <n v="845"/>
    <n v="0"/>
    <n v="15668"/>
    <n v="704"/>
    <m/>
    <n v="0"/>
    <m/>
  </r>
  <r>
    <x v="15"/>
    <s v="Fairmont State University"/>
    <m/>
    <n v="237367"/>
    <x v="4"/>
    <n v="104251"/>
    <n v="100586"/>
    <n v="78761"/>
    <n v="81761"/>
    <n v="6198"/>
    <n v="4218"/>
    <n v="19292"/>
    <n v="0"/>
    <n v="0"/>
    <n v="14607"/>
    <n v="0"/>
    <n v="0"/>
    <n v="0"/>
    <n v="0"/>
    <n v="4331"/>
    <n v="4241"/>
    <n v="1105"/>
    <n v="2247"/>
    <n v="245"/>
    <n v="230"/>
    <n v="2981"/>
    <n v="0"/>
    <n v="0"/>
    <n v="1764"/>
    <m/>
    <m/>
    <n v="0"/>
    <m/>
  </r>
  <r>
    <x v="15"/>
    <s v="Shepherd University "/>
    <m/>
    <n v="237792"/>
    <x v="4"/>
    <n v="91003"/>
    <n v="86320"/>
    <n v="84445"/>
    <n v="78479"/>
    <n v="0"/>
    <n v="0"/>
    <n v="6558"/>
    <n v="0"/>
    <n v="0"/>
    <n v="7841"/>
    <n v="0"/>
    <n v="0"/>
    <n v="0"/>
    <n v="0"/>
    <n v="5339"/>
    <n v="5699"/>
    <n v="4503"/>
    <n v="4810"/>
    <n v="0"/>
    <n v="0"/>
    <n v="836"/>
    <n v="0"/>
    <n v="0"/>
    <n v="889"/>
    <m/>
    <m/>
    <n v="0"/>
    <m/>
  </r>
  <r>
    <x v="15"/>
    <s v="Bluefield State College "/>
    <m/>
    <n v="237215"/>
    <x v="5"/>
    <n v="37239"/>
    <n v="36110"/>
    <n v="17710"/>
    <n v="16347"/>
    <n v="3125"/>
    <n v="2585"/>
    <n v="13469"/>
    <n v="2935"/>
    <n v="0"/>
    <n v="14598"/>
    <n v="2580"/>
    <n v="0"/>
    <n v="0"/>
    <n v="0"/>
    <n v="0"/>
    <n v="0"/>
    <m/>
    <m/>
    <m/>
    <n v="0"/>
    <m/>
    <m/>
    <m/>
    <m/>
    <m/>
    <m/>
    <m/>
    <m/>
  </r>
  <r>
    <x v="15"/>
    <s v="Concord University "/>
    <m/>
    <n v="237330"/>
    <x v="4"/>
    <n v="61027"/>
    <n v="56093"/>
    <n v="42219"/>
    <n v="37992"/>
    <n v="7166"/>
    <n v="6343"/>
    <n v="11555"/>
    <n v="87"/>
    <n v="0"/>
    <n v="11644"/>
    <n v="114"/>
    <n v="0"/>
    <n v="0"/>
    <n v="0"/>
    <n v="6084"/>
    <n v="6465"/>
    <n v="369"/>
    <n v="315"/>
    <n v="0"/>
    <m/>
    <n v="5715"/>
    <n v="0"/>
    <n v="0"/>
    <n v="6150"/>
    <m/>
    <m/>
    <n v="0"/>
    <m/>
  </r>
  <r>
    <x v="15"/>
    <s v="Glenville State College "/>
    <m/>
    <n v="237385"/>
    <x v="5"/>
    <n v="36516"/>
    <n v="37051"/>
    <n v="29398"/>
    <n v="27471"/>
    <n v="2694"/>
    <n v="3941"/>
    <n v="4424"/>
    <n v="0"/>
    <n v="0"/>
    <n v="5639"/>
    <n v="0"/>
    <n v="0"/>
    <n v="0"/>
    <n v="0"/>
    <n v="0"/>
    <n v="0"/>
    <m/>
    <m/>
    <m/>
    <m/>
    <m/>
    <m/>
    <m/>
    <m/>
    <m/>
    <m/>
    <m/>
    <m/>
  </r>
  <r>
    <x v="15"/>
    <s v="West Liberty University"/>
    <m/>
    <n v="237932"/>
    <x v="4"/>
    <n v="61051"/>
    <n v="61439"/>
    <n v="52133"/>
    <n v="52926"/>
    <n v="2504"/>
    <n v="2473"/>
    <n v="6414"/>
    <n v="0"/>
    <n v="0"/>
    <n v="6040"/>
    <n v="0"/>
    <n v="0"/>
    <n v="0"/>
    <n v="0"/>
    <n v="4194"/>
    <n v="5537"/>
    <n v="2016"/>
    <n v="2141"/>
    <n v="1188"/>
    <n v="1521"/>
    <n v="990"/>
    <n v="0"/>
    <n v="0"/>
    <n v="1875"/>
    <m/>
    <m/>
    <n v="0"/>
    <m/>
  </r>
  <r>
    <x v="15"/>
    <s v="West Virginia State University "/>
    <m/>
    <n v="237899"/>
    <x v="5"/>
    <n v="65642"/>
    <n v="68222"/>
    <n v="42208"/>
    <n v="39002"/>
    <n v="7680"/>
    <n v="12479"/>
    <n v="15754"/>
    <n v="0"/>
    <n v="0"/>
    <n v="16741"/>
    <n v="0"/>
    <n v="0"/>
    <n v="0"/>
    <n v="0"/>
    <n v="1265"/>
    <n v="1887"/>
    <n v="845"/>
    <n v="1293"/>
    <n v="108"/>
    <n v="87"/>
    <n v="312"/>
    <n v="0"/>
    <n v="0"/>
    <n v="507"/>
    <m/>
    <m/>
    <n v="0"/>
    <m/>
  </r>
  <r>
    <x v="15"/>
    <s v="West Virginia University at Parkersburg"/>
    <m/>
    <n v="237686"/>
    <x v="13"/>
    <n v="57695"/>
    <n v="56441"/>
    <n v="33433"/>
    <n v="32475"/>
    <n v="6295"/>
    <n v="4321"/>
    <n v="17718"/>
    <n v="0"/>
    <n v="249"/>
    <n v="17072"/>
    <n v="0"/>
    <n v="2573"/>
    <n v="0"/>
    <n v="0"/>
    <n v="0"/>
    <n v="0"/>
    <m/>
    <m/>
    <m/>
    <m/>
    <m/>
    <m/>
    <m/>
    <m/>
    <m/>
    <m/>
    <m/>
    <m/>
  </r>
  <r>
    <x v="15"/>
    <s v="West Virginia University Institute of Technology"/>
    <m/>
    <n v="237950"/>
    <x v="5"/>
    <n v="32663"/>
    <n v="35706"/>
    <n v="27114"/>
    <n v="29862"/>
    <n v="453"/>
    <n v="66"/>
    <n v="5096"/>
    <n v="0"/>
    <n v="0"/>
    <n v="5775"/>
    <n v="0"/>
    <n v="3"/>
    <n v="0"/>
    <n v="0"/>
    <n v="0"/>
    <n v="0"/>
    <m/>
    <m/>
    <m/>
    <m/>
    <m/>
    <m/>
    <m/>
    <m/>
    <m/>
    <m/>
    <m/>
    <m/>
  </r>
  <r>
    <x v="15"/>
    <s v="Potomac State College of West Virginia University"/>
    <m/>
    <n v="237701"/>
    <x v="13"/>
    <n v="34802"/>
    <n v="34687"/>
    <n v="29351"/>
    <n v="29684"/>
    <n v="2400"/>
    <n v="1614"/>
    <n v="3051"/>
    <n v="0"/>
    <n v="0"/>
    <n v="3385"/>
    <n v="0"/>
    <n v="4"/>
    <n v="0"/>
    <n v="0"/>
    <n v="0"/>
    <n v="0"/>
    <m/>
    <m/>
    <m/>
    <m/>
    <m/>
    <m/>
    <m/>
    <m/>
    <m/>
    <m/>
    <m/>
    <m/>
  </r>
  <r>
    <x v="15"/>
    <s v="New River Community &amp; Technical College"/>
    <m/>
    <n v="447582"/>
    <x v="8"/>
    <n v="36968"/>
    <n v="30304"/>
    <n v="23169"/>
    <n v="20210"/>
    <n v="0"/>
    <n v="0"/>
    <n v="11436"/>
    <n v="2363"/>
    <n v="0"/>
    <n v="10094"/>
    <n v="0"/>
    <n v="0"/>
    <n v="0"/>
    <n v="0"/>
    <n v="0"/>
    <n v="0"/>
    <m/>
    <m/>
    <m/>
    <m/>
    <m/>
    <m/>
    <m/>
    <m/>
    <m/>
    <m/>
    <m/>
    <m/>
  </r>
  <r>
    <x v="15"/>
    <s v="Pierpont Community &amp; Technical College"/>
    <m/>
    <n v="443492"/>
    <x v="8"/>
    <n v="41041"/>
    <n v="38532"/>
    <n v="16911"/>
    <n v="15415"/>
    <n v="16613"/>
    <n v="18751"/>
    <n v="7517"/>
    <n v="0"/>
    <n v="0"/>
    <n v="4366"/>
    <n v="0"/>
    <n v="0"/>
    <n v="0"/>
    <n v="0"/>
    <n v="0"/>
    <n v="0"/>
    <m/>
    <m/>
    <m/>
    <m/>
    <m/>
    <m/>
    <m/>
    <m/>
    <m/>
    <m/>
    <m/>
    <m/>
  </r>
  <r>
    <x v="15"/>
    <s v="Blue Ridge Community &amp; Technical College"/>
    <s v="Met the criteria for Two-Year 2 in  2017-18. "/>
    <n v="446774"/>
    <x v="8"/>
    <n v="58674"/>
    <n v="60277"/>
    <n v="32943"/>
    <n v="34659"/>
    <n v="11526"/>
    <n v="9572"/>
    <n v="14205"/>
    <n v="0"/>
    <n v="0"/>
    <n v="16046"/>
    <n v="0"/>
    <n v="0"/>
    <n v="0"/>
    <n v="0"/>
    <n v="0"/>
    <n v="0"/>
    <m/>
    <m/>
    <m/>
    <m/>
    <m/>
    <m/>
    <m/>
    <m/>
    <m/>
    <m/>
    <m/>
    <m/>
  </r>
  <r>
    <x v="15"/>
    <s v="BridgeValley Community &amp; Technical College"/>
    <s v="New"/>
    <n v="484932"/>
    <x v="8"/>
    <n v="41698"/>
    <n v="40352"/>
    <n v="33965"/>
    <n v="32122"/>
    <n v="460"/>
    <n v="139"/>
    <n v="7273"/>
    <n v="0"/>
    <n v="0"/>
    <n v="8091"/>
    <n v="0"/>
    <n v="0"/>
    <n v="0"/>
    <n v="0"/>
    <n v="0"/>
    <n v="0"/>
    <m/>
    <m/>
    <m/>
    <m/>
    <m/>
    <m/>
    <m/>
    <m/>
    <m/>
    <m/>
    <m/>
    <m/>
  </r>
  <r>
    <x v="15"/>
    <s v="Eastern West Virginia Community &amp; Technical College"/>
    <m/>
    <n v="438708"/>
    <x v="8"/>
    <n v="11326"/>
    <n v="8910"/>
    <n v="4753"/>
    <n v="4018"/>
    <n v="3225"/>
    <n v="2249"/>
    <n v="3348"/>
    <n v="0"/>
    <n v="0"/>
    <n v="2643"/>
    <n v="0"/>
    <n v="0"/>
    <n v="0"/>
    <n v="0"/>
    <n v="0"/>
    <n v="0"/>
    <m/>
    <m/>
    <m/>
    <m/>
    <m/>
    <m/>
    <m/>
    <m/>
    <m/>
    <m/>
    <m/>
    <m/>
  </r>
  <r>
    <x v="15"/>
    <s v="Mountwest Community &amp; Technical College"/>
    <m/>
    <n v="444954"/>
    <x v="8"/>
    <n v="45643"/>
    <n v="41265"/>
    <n v="25789"/>
    <n v="24300"/>
    <n v="8524"/>
    <n v="5597"/>
    <n v="11330"/>
    <n v="0"/>
    <n v="0"/>
    <n v="11368"/>
    <n v="0"/>
    <n v="0"/>
    <n v="0"/>
    <n v="0"/>
    <n v="0"/>
    <n v="0"/>
    <m/>
    <m/>
    <m/>
    <m/>
    <m/>
    <m/>
    <m/>
    <m/>
    <m/>
    <m/>
    <m/>
    <m/>
  </r>
  <r>
    <x v="15"/>
    <s v="Southern West Virginia Community &amp; Technical College "/>
    <m/>
    <n v="237817"/>
    <x v="8"/>
    <n v="38388"/>
    <n v="37265"/>
    <n v="23322"/>
    <n v="20132"/>
    <n v="1196"/>
    <n v="1167"/>
    <n v="11388"/>
    <n v="2482"/>
    <n v="0"/>
    <n v="12714"/>
    <n v="3252"/>
    <n v="0"/>
    <n v="0"/>
    <n v="0"/>
    <n v="0"/>
    <n v="0"/>
    <m/>
    <m/>
    <m/>
    <m/>
    <m/>
    <m/>
    <m/>
    <m/>
    <m/>
    <m/>
    <m/>
    <m/>
  </r>
  <r>
    <x v="15"/>
    <s v="West Virginia Northern Community College"/>
    <m/>
    <n v="238014"/>
    <x v="8"/>
    <n v="37817"/>
    <n v="35866"/>
    <n v="25674"/>
    <n v="22974"/>
    <n v="0"/>
    <n v="0"/>
    <n v="10011"/>
    <n v="2132"/>
    <n v="0"/>
    <n v="10725"/>
    <n v="2167"/>
    <n v="0"/>
    <n v="0"/>
    <n v="0"/>
    <n v="0"/>
    <n v="0"/>
    <m/>
    <m/>
    <m/>
    <m/>
    <m/>
    <m/>
    <m/>
    <m/>
    <m/>
    <m/>
    <m/>
    <m/>
  </r>
  <r>
    <x v="15"/>
    <s v="Academy of Careers and Technology (Raleigh County)"/>
    <m/>
    <n v="237729"/>
    <x v="14"/>
    <n v="0"/>
    <n v="0"/>
    <m/>
    <m/>
    <m/>
    <m/>
    <m/>
    <m/>
    <m/>
    <m/>
    <m/>
    <m/>
    <m/>
    <m/>
    <n v="0"/>
    <n v="0"/>
    <m/>
    <m/>
    <m/>
    <m/>
    <m/>
    <m/>
    <m/>
    <m/>
    <m/>
    <m/>
    <m/>
    <m/>
  </r>
  <r>
    <x v="15"/>
    <s v="Ben Franklin Career Center"/>
    <m/>
    <n v="237172"/>
    <x v="14"/>
    <n v="0"/>
    <n v="0"/>
    <m/>
    <m/>
    <m/>
    <m/>
    <m/>
    <m/>
    <m/>
    <m/>
    <m/>
    <m/>
    <m/>
    <m/>
    <n v="0"/>
    <n v="0"/>
    <m/>
    <m/>
    <m/>
    <m/>
    <m/>
    <m/>
    <m/>
    <m/>
    <m/>
    <m/>
    <m/>
    <m/>
  </r>
  <r>
    <x v="15"/>
    <s v="Boone County Career &amp; Technical Center "/>
    <m/>
    <n v="237224"/>
    <x v="14"/>
    <n v="0"/>
    <n v="0"/>
    <m/>
    <m/>
    <m/>
    <m/>
    <m/>
    <m/>
    <m/>
    <m/>
    <m/>
    <m/>
    <m/>
    <m/>
    <n v="0"/>
    <n v="0"/>
    <m/>
    <m/>
    <m/>
    <m/>
    <m/>
    <m/>
    <m/>
    <m/>
    <m/>
    <m/>
    <m/>
    <m/>
  </r>
  <r>
    <x v="15"/>
    <s v="Cabell County Career Technology Center"/>
    <m/>
    <n v="237242"/>
    <x v="14"/>
    <n v="0"/>
    <n v="0"/>
    <m/>
    <m/>
    <m/>
    <m/>
    <m/>
    <m/>
    <m/>
    <m/>
    <m/>
    <m/>
    <m/>
    <m/>
    <n v="0"/>
    <n v="0"/>
    <m/>
    <m/>
    <m/>
    <m/>
    <m/>
    <m/>
    <m/>
    <m/>
    <m/>
    <m/>
    <m/>
    <m/>
  </r>
  <r>
    <x v="15"/>
    <s v="Carver Career Center "/>
    <m/>
    <n v="430795"/>
    <x v="14"/>
    <n v="0"/>
    <n v="0"/>
    <m/>
    <m/>
    <m/>
    <m/>
    <m/>
    <m/>
    <m/>
    <m/>
    <m/>
    <m/>
    <m/>
    <m/>
    <n v="0"/>
    <n v="0"/>
    <m/>
    <m/>
    <m/>
    <m/>
    <m/>
    <m/>
    <m/>
    <m/>
    <m/>
    <m/>
    <m/>
    <m/>
  </r>
  <r>
    <x v="15"/>
    <s v="Fayette Institute of Technology"/>
    <m/>
    <n v="413176"/>
    <x v="14"/>
    <n v="0"/>
    <n v="0"/>
    <m/>
    <m/>
    <m/>
    <m/>
    <m/>
    <m/>
    <m/>
    <m/>
    <m/>
    <m/>
    <m/>
    <m/>
    <n v="0"/>
    <n v="0"/>
    <m/>
    <m/>
    <m/>
    <m/>
    <m/>
    <m/>
    <m/>
    <m/>
    <m/>
    <m/>
    <m/>
    <m/>
  </r>
  <r>
    <x v="15"/>
    <s v="Fred W. Eberle Technical Center "/>
    <m/>
    <n v="237844"/>
    <x v="14"/>
    <n v="0"/>
    <n v="0"/>
    <m/>
    <m/>
    <m/>
    <m/>
    <m/>
    <m/>
    <m/>
    <m/>
    <m/>
    <m/>
    <m/>
    <m/>
    <n v="0"/>
    <n v="0"/>
    <m/>
    <m/>
    <m/>
    <m/>
    <m/>
    <m/>
    <m/>
    <m/>
    <m/>
    <m/>
    <m/>
    <m/>
  </r>
  <r>
    <x v="15"/>
    <s v="Garnet Career Center "/>
    <m/>
    <n v="431169"/>
    <x v="14"/>
    <n v="0"/>
    <n v="0"/>
    <m/>
    <m/>
    <m/>
    <m/>
    <m/>
    <m/>
    <m/>
    <m/>
    <m/>
    <m/>
    <m/>
    <m/>
    <n v="0"/>
    <n v="0"/>
    <m/>
    <m/>
    <m/>
    <m/>
    <m/>
    <m/>
    <m/>
    <m/>
    <m/>
    <m/>
    <m/>
    <m/>
  </r>
  <r>
    <x v="15"/>
    <s v="James Rumsey Technical Institute"/>
    <m/>
    <n v="237473"/>
    <x v="14"/>
    <n v="0"/>
    <n v="0"/>
    <m/>
    <m/>
    <m/>
    <m/>
    <m/>
    <m/>
    <m/>
    <m/>
    <m/>
    <m/>
    <m/>
    <m/>
    <n v="0"/>
    <n v="0"/>
    <m/>
    <m/>
    <m/>
    <m/>
    <m/>
    <m/>
    <m/>
    <m/>
    <m/>
    <m/>
    <m/>
    <m/>
  </r>
  <r>
    <x v="15"/>
    <s v="John D. Rockefeller IV Career Center"/>
    <m/>
    <n v="446349"/>
    <x v="14"/>
    <n v="0"/>
    <n v="0"/>
    <m/>
    <m/>
    <m/>
    <m/>
    <m/>
    <m/>
    <m/>
    <m/>
    <m/>
    <m/>
    <m/>
    <m/>
    <n v="0"/>
    <n v="0"/>
    <m/>
    <m/>
    <m/>
    <m/>
    <m/>
    <m/>
    <m/>
    <m/>
    <m/>
    <m/>
    <m/>
    <m/>
  </r>
  <r>
    <x v="15"/>
    <s v="Marion County Vocational-Technical Center"/>
    <m/>
    <n v="237516"/>
    <x v="14"/>
    <n v="0"/>
    <n v="0"/>
    <m/>
    <m/>
    <m/>
    <m/>
    <m/>
    <m/>
    <m/>
    <m/>
    <m/>
    <m/>
    <m/>
    <m/>
    <n v="0"/>
    <n v="0"/>
    <m/>
    <m/>
    <m/>
    <m/>
    <m/>
    <m/>
    <m/>
    <m/>
    <m/>
    <m/>
    <m/>
    <m/>
  </r>
  <r>
    <x v="15"/>
    <s v="McDowell County Vocational-Technical Center "/>
    <m/>
    <n v="237534"/>
    <x v="14"/>
    <n v="0"/>
    <n v="0"/>
    <m/>
    <m/>
    <m/>
    <m/>
    <m/>
    <m/>
    <m/>
    <m/>
    <m/>
    <m/>
    <m/>
    <m/>
    <n v="0"/>
    <n v="0"/>
    <m/>
    <m/>
    <m/>
    <m/>
    <m/>
    <m/>
    <m/>
    <m/>
    <m/>
    <m/>
    <m/>
    <m/>
  </r>
  <r>
    <x v="15"/>
    <s v="Mercer County Technical Education Center"/>
    <m/>
    <n v="237543"/>
    <x v="14"/>
    <n v="0"/>
    <n v="0"/>
    <m/>
    <m/>
    <m/>
    <m/>
    <m/>
    <m/>
    <m/>
    <m/>
    <m/>
    <m/>
    <m/>
    <m/>
    <n v="0"/>
    <n v="0"/>
    <m/>
    <m/>
    <m/>
    <m/>
    <m/>
    <m/>
    <m/>
    <m/>
    <m/>
    <m/>
    <m/>
    <m/>
  </r>
  <r>
    <x v="15"/>
    <s v="Mineral County Vocational-Technical Center "/>
    <m/>
    <n v="368647"/>
    <x v="14"/>
    <n v="0"/>
    <n v="0"/>
    <m/>
    <m/>
    <m/>
    <m/>
    <m/>
    <m/>
    <m/>
    <m/>
    <m/>
    <m/>
    <m/>
    <m/>
    <n v="0"/>
    <n v="0"/>
    <m/>
    <m/>
    <m/>
    <m/>
    <m/>
    <m/>
    <m/>
    <m/>
    <m/>
    <m/>
    <m/>
    <m/>
  </r>
  <r>
    <x v="15"/>
    <s v="Monongalia County Technical Education Center "/>
    <m/>
    <n v="237561"/>
    <x v="14"/>
    <n v="0"/>
    <n v="0"/>
    <m/>
    <m/>
    <m/>
    <m/>
    <m/>
    <m/>
    <m/>
    <m/>
    <m/>
    <m/>
    <m/>
    <m/>
    <n v="0"/>
    <n v="0"/>
    <m/>
    <m/>
    <m/>
    <m/>
    <m/>
    <m/>
    <m/>
    <m/>
    <m/>
    <m/>
    <m/>
    <m/>
  </r>
  <r>
    <x v="15"/>
    <s v="Putnam Career and Technical Center"/>
    <m/>
    <n v="419420"/>
    <x v="14"/>
    <n v="0"/>
    <n v="0"/>
    <m/>
    <m/>
    <m/>
    <m/>
    <m/>
    <m/>
    <m/>
    <m/>
    <m/>
    <m/>
    <m/>
    <m/>
    <n v="0"/>
    <n v="0"/>
    <m/>
    <m/>
    <m/>
    <m/>
    <m/>
    <m/>
    <m/>
    <m/>
    <m/>
    <m/>
    <m/>
    <m/>
  </r>
  <r>
    <x v="15"/>
    <s v="Ralph R. Willis Career and Technical Center"/>
    <m/>
    <n v="237491"/>
    <x v="14"/>
    <n v="0"/>
    <n v="0"/>
    <m/>
    <m/>
    <m/>
    <m/>
    <m/>
    <m/>
    <m/>
    <m/>
    <m/>
    <m/>
    <m/>
    <m/>
    <n v="0"/>
    <n v="0"/>
    <m/>
    <m/>
    <m/>
    <m/>
    <m/>
    <m/>
    <m/>
    <m/>
    <m/>
    <m/>
    <m/>
    <m/>
  </r>
  <r>
    <x v="15"/>
    <s v="Roane-Jackson Technical Center"/>
    <m/>
    <n v="364575"/>
    <x v="14"/>
    <n v="0"/>
    <n v="0"/>
    <m/>
    <m/>
    <m/>
    <m/>
    <m/>
    <m/>
    <m/>
    <m/>
    <m/>
    <m/>
    <m/>
    <m/>
    <n v="0"/>
    <n v="0"/>
    <m/>
    <m/>
    <m/>
    <m/>
    <m/>
    <m/>
    <m/>
    <m/>
    <m/>
    <m/>
    <m/>
    <m/>
  </r>
  <r>
    <x v="15"/>
    <s v="South Branch Career &amp; Technical Center"/>
    <m/>
    <n v="441894"/>
    <x v="14"/>
    <n v="0"/>
    <n v="0"/>
    <m/>
    <m/>
    <m/>
    <m/>
    <m/>
    <m/>
    <m/>
    <m/>
    <m/>
    <m/>
    <m/>
    <m/>
    <n v="0"/>
    <n v="0"/>
    <m/>
    <m/>
    <m/>
    <m/>
    <m/>
    <m/>
    <m/>
    <m/>
    <m/>
    <m/>
    <m/>
    <m/>
  </r>
  <r>
    <x v="15"/>
    <s v="United Technical Center"/>
    <m/>
    <n v="419031"/>
    <x v="14"/>
    <n v="0"/>
    <n v="0"/>
    <m/>
    <m/>
    <m/>
    <m/>
    <m/>
    <m/>
    <m/>
    <m/>
    <m/>
    <m/>
    <m/>
    <m/>
    <n v="0"/>
    <n v="0"/>
    <m/>
    <m/>
    <m/>
    <m/>
    <m/>
    <m/>
    <m/>
    <m/>
    <m/>
    <m/>
    <m/>
    <m/>
  </r>
  <r>
    <x v="15"/>
    <s v="Wyoming County "/>
    <m/>
    <s v="N/A"/>
    <x v="14"/>
    <n v="0"/>
    <n v="0"/>
    <m/>
    <m/>
    <m/>
    <m/>
    <m/>
    <m/>
    <m/>
    <m/>
    <m/>
    <m/>
    <m/>
    <m/>
    <n v="0"/>
    <n v="0"/>
    <m/>
    <m/>
    <m/>
    <m/>
    <m/>
    <m/>
    <m/>
    <m/>
    <m/>
    <m/>
    <m/>
    <m/>
  </r>
  <r>
    <x v="15"/>
    <s v="Greenbrier Practical School of Nursing"/>
    <m/>
    <s v="N/A"/>
    <x v="11"/>
    <n v="0"/>
    <n v="0"/>
    <m/>
    <m/>
    <m/>
    <m/>
    <m/>
    <m/>
    <m/>
    <m/>
    <m/>
    <m/>
    <m/>
    <m/>
    <n v="0"/>
    <n v="0"/>
    <m/>
    <m/>
    <m/>
    <m/>
    <m/>
    <m/>
    <m/>
    <m/>
    <m/>
    <m/>
    <m/>
    <m/>
  </r>
  <r>
    <x v="15"/>
    <s v="Mingo Extended Learning Center"/>
    <m/>
    <n v="486202"/>
    <x v="11"/>
    <n v="0"/>
    <n v="0"/>
    <m/>
    <m/>
    <m/>
    <m/>
    <m/>
    <m/>
    <m/>
    <m/>
    <m/>
    <m/>
    <m/>
    <m/>
    <n v="0"/>
    <n v="0"/>
    <m/>
    <m/>
    <m/>
    <m/>
    <m/>
    <m/>
    <m/>
    <m/>
    <m/>
    <m/>
    <m/>
    <m/>
  </r>
  <r>
    <x v="15"/>
    <s v="Randolph Technical Center"/>
    <m/>
    <n v="486406"/>
    <x v="11"/>
    <n v="0"/>
    <n v="0"/>
    <m/>
    <m/>
    <m/>
    <m/>
    <m/>
    <m/>
    <m/>
    <m/>
    <m/>
    <m/>
    <m/>
    <m/>
    <n v="0"/>
    <n v="0"/>
    <m/>
    <m/>
    <m/>
    <m/>
    <m/>
    <m/>
    <m/>
    <m/>
    <m/>
    <m/>
    <m/>
    <m/>
  </r>
  <r>
    <x v="15"/>
    <s v="Summers County School of Nursing"/>
    <m/>
    <s v="N/A"/>
    <x v="11"/>
    <n v="0"/>
    <n v="0"/>
    <m/>
    <m/>
    <m/>
    <m/>
    <m/>
    <m/>
    <m/>
    <m/>
    <m/>
    <m/>
    <m/>
    <m/>
    <n v="0"/>
    <n v="0"/>
    <m/>
    <m/>
    <m/>
    <m/>
    <m/>
    <m/>
    <m/>
    <m/>
    <m/>
    <m/>
    <m/>
    <m/>
  </r>
  <r>
    <x v="15"/>
    <s v="Wood County School of Practical Nursing"/>
    <m/>
    <n v="238096"/>
    <x v="11"/>
    <n v="0"/>
    <n v="0"/>
    <m/>
    <m/>
    <m/>
    <m/>
    <m/>
    <m/>
    <m/>
    <m/>
    <m/>
    <m/>
    <m/>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A813C8-D13C-40F1-8203-1F465EAEE012}" name="PivotTable1" cacheId="127"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5"/>
        <item x="11"/>
        <item x="13"/>
        <item x="6"/>
        <item x="7"/>
        <item x="8"/>
        <item x="9"/>
        <item x="10"/>
        <item h="1" m="1" x="16"/>
        <item h="1" x="14"/>
        <item h="1" m="1" x="15"/>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1688">
    <format dxfId="1834">
      <pivotArea field="4" type="button" dataOnly="0" labelOnly="1" outline="0" axis="axisCol" fieldPosition="1"/>
    </format>
    <format dxfId="1833">
      <pivotArea type="topRight" dataOnly="0" labelOnly="1" outline="0" fieldPosition="0"/>
    </format>
    <format dxfId="1832">
      <pivotArea dataOnly="0" labelOnly="1" grandCol="1" outline="0" fieldPosition="0"/>
    </format>
    <format dxfId="1831">
      <pivotArea outline="0" fieldPosition="0"/>
    </format>
    <format dxfId="1830">
      <pivotArea dataOnly="0" labelOnly="1" outline="0" offset="IV256" fieldPosition="0">
        <references count="1">
          <reference field="0" count="1">
            <x v="9"/>
          </reference>
        </references>
      </pivotArea>
    </format>
    <format dxfId="1829">
      <pivotArea dataOnly="0" labelOnly="1" outline="0" fieldPosition="0">
        <references count="1">
          <reference field="0" count="0"/>
        </references>
      </pivotArea>
    </format>
    <format dxfId="1828">
      <pivotArea type="origin" dataOnly="0" labelOnly="1" outline="0" fieldPosition="0"/>
    </format>
    <format dxfId="1827">
      <pivotArea field="0" type="button" dataOnly="0" labelOnly="1" outline="0" axis="axisRow" fieldPosition="0"/>
    </format>
    <format dxfId="1826">
      <pivotArea field="-2" type="button" dataOnly="0" labelOnly="1" outline="0" axis="axisRow" fieldPosition="1"/>
    </format>
    <format dxfId="1825">
      <pivotArea field="4" type="button" dataOnly="0" labelOnly="1" outline="0" axis="axisCol" fieldPosition="1"/>
    </format>
    <format dxfId="1824">
      <pivotArea type="topRight" dataOnly="0" labelOnly="1" outline="0" fieldPosition="0"/>
    </format>
    <format dxfId="1823">
      <pivotArea dataOnly="0" labelOnly="1" grandCol="1" outline="0" offset="IV256" fieldPosition="0"/>
    </format>
    <format dxfId="1822">
      <pivotArea field="0" grandRow="1" outline="0" axis="axisRow" fieldPosition="0">
        <references count="1">
          <reference field="4294967294" count="1" selected="0">
            <x v="35"/>
          </reference>
        </references>
      </pivotArea>
    </format>
    <format dxfId="1821">
      <pivotArea field="0" dataOnly="0" labelOnly="1" grandRow="1" outline="0" axis="axisRow" fieldPosition="0">
        <references count="1">
          <reference field="4294967294" count="1" selected="0">
            <x v="0"/>
          </reference>
        </references>
      </pivotArea>
    </format>
    <format dxfId="1820">
      <pivotArea field="0" dataOnly="0" labelOnly="1" grandRow="1" outline="0" axis="axisRow" fieldPosition="0">
        <references count="1">
          <reference field="4294967294" count="1" selected="0">
            <x v="1"/>
          </reference>
        </references>
      </pivotArea>
    </format>
    <format dxfId="1819">
      <pivotArea field="0" dataOnly="0" labelOnly="1" grandRow="1" outline="0" axis="axisRow" fieldPosition="0">
        <references count="1">
          <reference field="4294967294" count="1" selected="0">
            <x v="3"/>
          </reference>
        </references>
      </pivotArea>
    </format>
    <format dxfId="1818">
      <pivotArea field="0" dataOnly="0" labelOnly="1" grandRow="1" outline="0" axis="axisRow" fieldPosition="0">
        <references count="1">
          <reference field="4294967294" count="1" selected="0">
            <x v="4"/>
          </reference>
        </references>
      </pivotArea>
    </format>
    <format dxfId="1817">
      <pivotArea field="0" dataOnly="0" labelOnly="1" grandRow="1" outline="0" axis="axisRow" fieldPosition="0">
        <references count="1">
          <reference field="4294967294" count="1" selected="0">
            <x v="5"/>
          </reference>
        </references>
      </pivotArea>
    </format>
    <format dxfId="1816">
      <pivotArea field="0" dataOnly="0" labelOnly="1" grandRow="1" outline="0" axis="axisRow" fieldPosition="0">
        <references count="1">
          <reference field="4294967294" count="1" selected="0">
            <x v="6"/>
          </reference>
        </references>
      </pivotArea>
    </format>
    <format dxfId="1815">
      <pivotArea field="0" dataOnly="0" labelOnly="1" grandRow="1" outline="0" axis="axisRow" fieldPosition="0">
        <references count="1">
          <reference field="4294967294" count="1" selected="0">
            <x v="7"/>
          </reference>
        </references>
      </pivotArea>
    </format>
    <format dxfId="1814">
      <pivotArea field="0" dataOnly="0" labelOnly="1" grandRow="1" outline="0" axis="axisRow" fieldPosition="0">
        <references count="1">
          <reference field="4294967294" count="1" selected="0">
            <x v="8"/>
          </reference>
        </references>
      </pivotArea>
    </format>
    <format dxfId="1813">
      <pivotArea field="0" dataOnly="0" labelOnly="1" grandRow="1" outline="0" axis="axisRow" fieldPosition="0">
        <references count="1">
          <reference field="4294967294" count="1" selected="0">
            <x v="9"/>
          </reference>
        </references>
      </pivotArea>
    </format>
    <format dxfId="1812">
      <pivotArea field="0" dataOnly="0" labelOnly="1" grandRow="1" outline="0" axis="axisRow" fieldPosition="0">
        <references count="1">
          <reference field="4294967294" count="1" selected="0">
            <x v="10"/>
          </reference>
        </references>
      </pivotArea>
    </format>
    <format dxfId="1811">
      <pivotArea field="0" dataOnly="0" labelOnly="1" grandRow="1" outline="0" axis="axisRow" fieldPosition="0">
        <references count="1">
          <reference field="4294967294" count="1" selected="0">
            <x v="11"/>
          </reference>
        </references>
      </pivotArea>
    </format>
    <format dxfId="1810">
      <pivotArea field="0" dataOnly="0" labelOnly="1" grandRow="1" outline="0" axis="axisRow" fieldPosition="0">
        <references count="1">
          <reference field="4294967294" count="1" selected="0">
            <x v="12"/>
          </reference>
        </references>
      </pivotArea>
    </format>
    <format dxfId="1809">
      <pivotArea field="0" dataOnly="0" labelOnly="1" grandRow="1" outline="0" axis="axisRow" fieldPosition="0">
        <references count="1">
          <reference field="4294967294" count="1" selected="0">
            <x v="13"/>
          </reference>
        </references>
      </pivotArea>
    </format>
    <format dxfId="1808">
      <pivotArea field="0" dataOnly="0" labelOnly="1" grandRow="1" outline="0" axis="axisRow" fieldPosition="0">
        <references count="1">
          <reference field="4294967294" count="1" selected="0">
            <x v="14"/>
          </reference>
        </references>
      </pivotArea>
    </format>
    <format dxfId="1807">
      <pivotArea field="0" dataOnly="0" labelOnly="1" grandRow="1" outline="0" axis="axisRow" fieldPosition="0">
        <references count="1">
          <reference field="4294967294" count="1" selected="0">
            <x v="15"/>
          </reference>
        </references>
      </pivotArea>
    </format>
    <format dxfId="1806">
      <pivotArea field="0" dataOnly="0" labelOnly="1" grandRow="1" outline="0" axis="axisRow" fieldPosition="0">
        <references count="1">
          <reference field="4294967294" count="1" selected="0">
            <x v="16"/>
          </reference>
        </references>
      </pivotArea>
    </format>
    <format dxfId="1805">
      <pivotArea field="0" dataOnly="0" labelOnly="1" grandRow="1" outline="0" axis="axisRow" fieldPosition="0">
        <references count="1">
          <reference field="4294967294" count="1" selected="0">
            <x v="17"/>
          </reference>
        </references>
      </pivotArea>
    </format>
    <format dxfId="1804">
      <pivotArea field="0" dataOnly="0" labelOnly="1" grandRow="1" outline="0" axis="axisRow" fieldPosition="0">
        <references count="1">
          <reference field="4294967294" count="1" selected="0">
            <x v="18"/>
          </reference>
        </references>
      </pivotArea>
    </format>
    <format dxfId="1803">
      <pivotArea field="0" dataOnly="0" labelOnly="1" grandRow="1" outline="0" axis="axisRow" fieldPosition="0">
        <references count="1">
          <reference field="4294967294" count="1" selected="0">
            <x v="19"/>
          </reference>
        </references>
      </pivotArea>
    </format>
    <format dxfId="1802">
      <pivotArea field="0" dataOnly="0" labelOnly="1" grandRow="1" outline="0" axis="axisRow" fieldPosition="0">
        <references count="1">
          <reference field="4294967294" count="1" selected="0">
            <x v="20"/>
          </reference>
        </references>
      </pivotArea>
    </format>
    <format dxfId="1801">
      <pivotArea field="0" dataOnly="0" labelOnly="1" grandRow="1" outline="0" axis="axisRow" fieldPosition="0">
        <references count="1">
          <reference field="4294967294" count="1" selected="0">
            <x v="21"/>
          </reference>
        </references>
      </pivotArea>
    </format>
    <format dxfId="1800">
      <pivotArea field="0" dataOnly="0" labelOnly="1" grandRow="1" outline="0" axis="axisRow" fieldPosition="0">
        <references count="1">
          <reference field="4294967294" count="1" selected="0">
            <x v="22"/>
          </reference>
        </references>
      </pivotArea>
    </format>
    <format dxfId="1799">
      <pivotArea field="0" dataOnly="0" labelOnly="1" grandRow="1" outline="0" axis="axisRow" fieldPosition="0">
        <references count="1">
          <reference field="4294967294" count="1" selected="0">
            <x v="23"/>
          </reference>
        </references>
      </pivotArea>
    </format>
    <format dxfId="1798">
      <pivotArea field="0" dataOnly="0" labelOnly="1" grandRow="1" outline="0" axis="axisRow" fieldPosition="0">
        <references count="1">
          <reference field="4294967294" count="1" selected="0">
            <x v="24"/>
          </reference>
        </references>
      </pivotArea>
    </format>
    <format dxfId="1797">
      <pivotArea field="0" dataOnly="0" labelOnly="1" grandRow="1" outline="0" axis="axisRow" fieldPosition="0">
        <references count="1">
          <reference field="4294967294" count="1" selected="0">
            <x v="25"/>
          </reference>
        </references>
      </pivotArea>
    </format>
    <format dxfId="1796">
      <pivotArea field="0" dataOnly="0" labelOnly="1" grandRow="1" outline="0" axis="axisRow" fieldPosition="0">
        <references count="1">
          <reference field="4294967294" count="1" selected="0">
            <x v="26"/>
          </reference>
        </references>
      </pivotArea>
    </format>
    <format dxfId="1795">
      <pivotArea field="0" dataOnly="0" labelOnly="1" grandRow="1" outline="0" axis="axisRow" fieldPosition="0">
        <references count="1">
          <reference field="4294967294" count="1" selected="0">
            <x v="27"/>
          </reference>
        </references>
      </pivotArea>
    </format>
    <format dxfId="1794">
      <pivotArea field="0" dataOnly="0" labelOnly="1" grandRow="1" outline="0" axis="axisRow" fieldPosition="0">
        <references count="1">
          <reference field="4294967294" count="1" selected="0">
            <x v="28"/>
          </reference>
        </references>
      </pivotArea>
    </format>
    <format dxfId="1793">
      <pivotArea field="0" dataOnly="0" labelOnly="1" grandRow="1" outline="0" axis="axisRow" fieldPosition="0">
        <references count="1">
          <reference field="4294967294" count="1" selected="0">
            <x v="29"/>
          </reference>
        </references>
      </pivotArea>
    </format>
    <format dxfId="1792">
      <pivotArea field="0" dataOnly="0" labelOnly="1" grandRow="1" outline="0" axis="axisRow" fieldPosition="0">
        <references count="1">
          <reference field="4294967294" count="1" selected="0">
            <x v="30"/>
          </reference>
        </references>
      </pivotArea>
    </format>
    <format dxfId="1791">
      <pivotArea field="0" dataOnly="0" labelOnly="1" grandRow="1" outline="0" axis="axisRow" fieldPosition="0">
        <references count="1">
          <reference field="4294967294" count="1" selected="0">
            <x v="31"/>
          </reference>
        </references>
      </pivotArea>
    </format>
    <format dxfId="1790">
      <pivotArea field="0" dataOnly="0" labelOnly="1" grandRow="1" outline="0" axis="axisRow" fieldPosition="0">
        <references count="1">
          <reference field="4294967294" count="1" selected="0">
            <x v="32"/>
          </reference>
        </references>
      </pivotArea>
    </format>
    <format dxfId="1789">
      <pivotArea field="0" dataOnly="0" labelOnly="1" grandRow="1" outline="0" axis="axisRow" fieldPosition="0">
        <references count="1">
          <reference field="4294967294" count="1" selected="0">
            <x v="33"/>
          </reference>
        </references>
      </pivotArea>
    </format>
    <format dxfId="1788">
      <pivotArea field="0" dataOnly="0" labelOnly="1" grandRow="1" outline="0" axis="axisRow" fieldPosition="0">
        <references count="1">
          <reference field="4294967294" count="1" selected="0">
            <x v="34"/>
          </reference>
        </references>
      </pivotArea>
    </format>
    <format dxfId="1787">
      <pivotArea field="0" dataOnly="0" labelOnly="1" grandRow="1" outline="0" axis="axisRow" fieldPosition="0">
        <references count="1">
          <reference field="4294967294" count="1" selected="0">
            <x v="35"/>
          </reference>
        </references>
      </pivotArea>
    </format>
    <format dxfId="1786">
      <pivotArea field="0" grandRow="1" outline="0" axis="axisRow" fieldPosition="0">
        <references count="1">
          <reference field="4294967294" count="1" selected="0">
            <x v="5"/>
          </reference>
        </references>
      </pivotArea>
    </format>
    <format dxfId="1785">
      <pivotArea field="0" grandRow="1" outline="0" axis="axisRow" fieldPosition="0">
        <references count="1">
          <reference field="4294967294" count="1" selected="0">
            <x v="8"/>
          </reference>
        </references>
      </pivotArea>
    </format>
    <format dxfId="1784">
      <pivotArea field="0" grandRow="1" outline="0" axis="axisRow" fieldPosition="0">
        <references count="1">
          <reference field="4294967294" count="1" selected="0">
            <x v="11"/>
          </reference>
        </references>
      </pivotArea>
    </format>
    <format dxfId="1783">
      <pivotArea field="0" grandRow="1" outline="0" axis="axisRow" fieldPosition="0">
        <references count="1">
          <reference field="4294967294" count="1" selected="0">
            <x v="14"/>
          </reference>
        </references>
      </pivotArea>
    </format>
    <format dxfId="1782">
      <pivotArea field="0" grandRow="1" outline="0" axis="axisRow" fieldPosition="0">
        <references count="1">
          <reference field="4294967294" count="1" selected="0">
            <x v="17"/>
          </reference>
        </references>
      </pivotArea>
    </format>
    <format dxfId="1781">
      <pivotArea field="0" grandRow="1" outline="0" axis="axisRow" fieldPosition="0">
        <references count="1">
          <reference field="4294967294" count="1" selected="0">
            <x v="20"/>
          </reference>
        </references>
      </pivotArea>
    </format>
    <format dxfId="1780">
      <pivotArea field="0" grandRow="1" outline="0" axis="axisRow" fieldPosition="0">
        <references count="1">
          <reference field="4294967294" count="1" selected="0">
            <x v="23"/>
          </reference>
        </references>
      </pivotArea>
    </format>
    <format dxfId="1779">
      <pivotArea field="0" grandRow="1" outline="0" axis="axisRow" fieldPosition="0">
        <references count="1">
          <reference field="4294967294" count="1" selected="0">
            <x v="26"/>
          </reference>
        </references>
      </pivotArea>
    </format>
    <format dxfId="1778">
      <pivotArea field="0" grandRow="1" outline="0" axis="axisRow" fieldPosition="0">
        <references count="1">
          <reference field="4294967294" count="1" selected="0">
            <x v="29"/>
          </reference>
        </references>
      </pivotArea>
    </format>
    <format dxfId="1777">
      <pivotArea field="0" grandRow="1" outline="0" axis="axisRow" fieldPosition="0">
        <references count="1">
          <reference field="4294967294" count="1" selected="0">
            <x v="32"/>
          </reference>
        </references>
      </pivotArea>
    </format>
    <format dxfId="1776">
      <pivotArea field="0" grandRow="1" outline="0" axis="axisRow" fieldPosition="0">
        <references count="1">
          <reference field="4294967294" count="1" selected="0">
            <x v="35"/>
          </reference>
        </references>
      </pivotArea>
    </format>
    <format dxfId="1775">
      <pivotArea field="4" type="button" dataOnly="0" labelOnly="1" outline="0" axis="axisCol" fieldPosition="1"/>
    </format>
    <format dxfId="1774">
      <pivotArea type="topRight" dataOnly="0" labelOnly="1" outline="0" fieldPosition="0"/>
    </format>
    <format dxfId="1773">
      <pivotArea type="topRight" dataOnly="0" labelOnly="1" outline="0" offset="O1" fieldPosition="0"/>
    </format>
    <format dxfId="1772">
      <pivotArea type="origin" dataOnly="0" labelOnly="1" outline="0" offset="A2:B2" fieldPosition="0"/>
    </format>
    <format dxfId="1771">
      <pivotArea field="0" dataOnly="0" labelOnly="1" grandRow="1" outline="0" axis="axisRow" fieldPosition="0">
        <references count="1">
          <reference field="4294967294" count="1" selected="0">
            <x v="0"/>
          </reference>
        </references>
      </pivotArea>
    </format>
    <format dxfId="1770">
      <pivotArea field="0" dataOnly="0" labelOnly="1" grandRow="1" outline="0" axis="axisRow" fieldPosition="0">
        <references count="1">
          <reference field="4294967294" count="1" selected="0">
            <x v="1"/>
          </reference>
        </references>
      </pivotArea>
    </format>
    <format dxfId="1769">
      <pivotArea field="0" dataOnly="0" labelOnly="1" grandRow="1" outline="0" axis="axisRow" fieldPosition="0">
        <references count="1">
          <reference field="4294967294" count="1" selected="0">
            <x v="3"/>
          </reference>
        </references>
      </pivotArea>
    </format>
    <format dxfId="1768">
      <pivotArea field="0" dataOnly="0" labelOnly="1" grandRow="1" outline="0" axis="axisRow" fieldPosition="0">
        <references count="1">
          <reference field="4294967294" count="1" selected="0">
            <x v="4"/>
          </reference>
        </references>
      </pivotArea>
    </format>
    <format dxfId="1767">
      <pivotArea field="0" dataOnly="0" labelOnly="1" grandRow="1" outline="0" axis="axisRow" fieldPosition="0">
        <references count="1">
          <reference field="4294967294" count="1" selected="0">
            <x v="5"/>
          </reference>
        </references>
      </pivotArea>
    </format>
    <format dxfId="1766">
      <pivotArea field="0" dataOnly="0" labelOnly="1" grandRow="1" outline="0" axis="axisRow" fieldPosition="0">
        <references count="1">
          <reference field="4294967294" count="1" selected="0">
            <x v="6"/>
          </reference>
        </references>
      </pivotArea>
    </format>
    <format dxfId="1765">
      <pivotArea field="0" dataOnly="0" labelOnly="1" grandRow="1" outline="0" axis="axisRow" fieldPosition="0">
        <references count="1">
          <reference field="4294967294" count="1" selected="0">
            <x v="7"/>
          </reference>
        </references>
      </pivotArea>
    </format>
    <format dxfId="1764">
      <pivotArea field="0" dataOnly="0" labelOnly="1" grandRow="1" outline="0" axis="axisRow" fieldPosition="0">
        <references count="1">
          <reference field="4294967294" count="1" selected="0">
            <x v="8"/>
          </reference>
        </references>
      </pivotArea>
    </format>
    <format dxfId="1763">
      <pivotArea field="0" dataOnly="0" labelOnly="1" grandRow="1" outline="0" axis="axisRow" fieldPosition="0">
        <references count="1">
          <reference field="4294967294" count="1" selected="0">
            <x v="9"/>
          </reference>
        </references>
      </pivotArea>
    </format>
    <format dxfId="1762">
      <pivotArea field="0" dataOnly="0" labelOnly="1" grandRow="1" outline="0" axis="axisRow" fieldPosition="0">
        <references count="1">
          <reference field="4294967294" count="1" selected="0">
            <x v="10"/>
          </reference>
        </references>
      </pivotArea>
    </format>
    <format dxfId="1761">
      <pivotArea field="0" dataOnly="0" labelOnly="1" grandRow="1" outline="0" axis="axisRow" fieldPosition="0">
        <references count="1">
          <reference field="4294967294" count="1" selected="0">
            <x v="11"/>
          </reference>
        </references>
      </pivotArea>
    </format>
    <format dxfId="1760">
      <pivotArea field="0" dataOnly="0" labelOnly="1" grandRow="1" outline="0" axis="axisRow" fieldPosition="0">
        <references count="1">
          <reference field="4294967294" count="1" selected="0">
            <x v="12"/>
          </reference>
        </references>
      </pivotArea>
    </format>
    <format dxfId="1759">
      <pivotArea field="0" dataOnly="0" labelOnly="1" grandRow="1" outline="0" axis="axisRow" fieldPosition="0">
        <references count="1">
          <reference field="4294967294" count="1" selected="0">
            <x v="13"/>
          </reference>
        </references>
      </pivotArea>
    </format>
    <format dxfId="1758">
      <pivotArea field="0" dataOnly="0" labelOnly="1" grandRow="1" outline="0" axis="axisRow" fieldPosition="0">
        <references count="1">
          <reference field="4294967294" count="1" selected="0">
            <x v="14"/>
          </reference>
        </references>
      </pivotArea>
    </format>
    <format dxfId="1757">
      <pivotArea field="0" dataOnly="0" labelOnly="1" grandRow="1" outline="0" axis="axisRow" fieldPosition="0">
        <references count="1">
          <reference field="4294967294" count="1" selected="0">
            <x v="15"/>
          </reference>
        </references>
      </pivotArea>
    </format>
    <format dxfId="1756">
      <pivotArea field="0" dataOnly="0" labelOnly="1" grandRow="1" outline="0" axis="axisRow" fieldPosition="0">
        <references count="1">
          <reference field="4294967294" count="1" selected="0">
            <x v="16"/>
          </reference>
        </references>
      </pivotArea>
    </format>
    <format dxfId="1755">
      <pivotArea field="0" dataOnly="0" labelOnly="1" grandRow="1" outline="0" axis="axisRow" fieldPosition="0">
        <references count="1">
          <reference field="4294967294" count="1" selected="0">
            <x v="17"/>
          </reference>
        </references>
      </pivotArea>
    </format>
    <format dxfId="1754">
      <pivotArea field="0" dataOnly="0" labelOnly="1" grandRow="1" outline="0" axis="axisRow" fieldPosition="0">
        <references count="1">
          <reference field="4294967294" count="1" selected="0">
            <x v="18"/>
          </reference>
        </references>
      </pivotArea>
    </format>
    <format dxfId="1753">
      <pivotArea field="0" dataOnly="0" labelOnly="1" grandRow="1" outline="0" axis="axisRow" fieldPosition="0">
        <references count="1">
          <reference field="4294967294" count="1" selected="0">
            <x v="19"/>
          </reference>
        </references>
      </pivotArea>
    </format>
    <format dxfId="1752">
      <pivotArea field="0" dataOnly="0" labelOnly="1" grandRow="1" outline="0" axis="axisRow" fieldPosition="0">
        <references count="1">
          <reference field="4294967294" count="1" selected="0">
            <x v="20"/>
          </reference>
        </references>
      </pivotArea>
    </format>
    <format dxfId="1751">
      <pivotArea field="0" dataOnly="0" labelOnly="1" grandRow="1" outline="0" axis="axisRow" fieldPosition="0">
        <references count="1">
          <reference field="4294967294" count="1" selected="0">
            <x v="21"/>
          </reference>
        </references>
      </pivotArea>
    </format>
    <format dxfId="1750">
      <pivotArea field="0" dataOnly="0" labelOnly="1" grandRow="1" outline="0" axis="axisRow" fieldPosition="0">
        <references count="1">
          <reference field="4294967294" count="1" selected="0">
            <x v="22"/>
          </reference>
        </references>
      </pivotArea>
    </format>
    <format dxfId="1749">
      <pivotArea field="0" dataOnly="0" labelOnly="1" grandRow="1" outline="0" axis="axisRow" fieldPosition="0">
        <references count="1">
          <reference field="4294967294" count="1" selected="0">
            <x v="23"/>
          </reference>
        </references>
      </pivotArea>
    </format>
    <format dxfId="1748">
      <pivotArea field="0" dataOnly="0" labelOnly="1" grandRow="1" outline="0" axis="axisRow" fieldPosition="0">
        <references count="1">
          <reference field="4294967294" count="1" selected="0">
            <x v="24"/>
          </reference>
        </references>
      </pivotArea>
    </format>
    <format dxfId="1747">
      <pivotArea field="0" dataOnly="0" labelOnly="1" grandRow="1" outline="0" axis="axisRow" fieldPosition="0">
        <references count="1">
          <reference field="4294967294" count="1" selected="0">
            <x v="25"/>
          </reference>
        </references>
      </pivotArea>
    </format>
    <format dxfId="1746">
      <pivotArea field="0" dataOnly="0" labelOnly="1" grandRow="1" outline="0" axis="axisRow" fieldPosition="0">
        <references count="1">
          <reference field="4294967294" count="1" selected="0">
            <x v="26"/>
          </reference>
        </references>
      </pivotArea>
    </format>
    <format dxfId="1745">
      <pivotArea field="0" dataOnly="0" labelOnly="1" grandRow="1" outline="0" axis="axisRow" fieldPosition="0">
        <references count="1">
          <reference field="4294967294" count="1" selected="0">
            <x v="27"/>
          </reference>
        </references>
      </pivotArea>
    </format>
    <format dxfId="1744">
      <pivotArea field="0" dataOnly="0" labelOnly="1" grandRow="1" outline="0" axis="axisRow" fieldPosition="0">
        <references count="1">
          <reference field="4294967294" count="1" selected="0">
            <x v="28"/>
          </reference>
        </references>
      </pivotArea>
    </format>
    <format dxfId="1743">
      <pivotArea field="0" dataOnly="0" labelOnly="1" grandRow="1" outline="0" axis="axisRow" fieldPosition="0">
        <references count="1">
          <reference field="4294967294" count="1" selected="0">
            <x v="29"/>
          </reference>
        </references>
      </pivotArea>
    </format>
    <format dxfId="1742">
      <pivotArea field="0" dataOnly="0" labelOnly="1" grandRow="1" outline="0" axis="axisRow" fieldPosition="0">
        <references count="1">
          <reference field="4294967294" count="1" selected="0">
            <x v="30"/>
          </reference>
        </references>
      </pivotArea>
    </format>
    <format dxfId="1741">
      <pivotArea field="0" dataOnly="0" labelOnly="1" grandRow="1" outline="0" axis="axisRow" fieldPosition="0">
        <references count="1">
          <reference field="4294967294" count="1" selected="0">
            <x v="31"/>
          </reference>
        </references>
      </pivotArea>
    </format>
    <format dxfId="1740">
      <pivotArea field="0" dataOnly="0" labelOnly="1" grandRow="1" outline="0" axis="axisRow" fieldPosition="0">
        <references count="1">
          <reference field="4294967294" count="1" selected="0">
            <x v="32"/>
          </reference>
        </references>
      </pivotArea>
    </format>
    <format dxfId="1739">
      <pivotArea field="0" dataOnly="0" labelOnly="1" grandRow="1" outline="0" axis="axisRow" fieldPosition="0">
        <references count="1">
          <reference field="4294967294" count="1" selected="0">
            <x v="33"/>
          </reference>
        </references>
      </pivotArea>
    </format>
    <format dxfId="1738">
      <pivotArea field="0" dataOnly="0" labelOnly="1" grandRow="1" outline="0" axis="axisRow" fieldPosition="0">
        <references count="1">
          <reference field="4294967294" count="1" selected="0">
            <x v="34"/>
          </reference>
        </references>
      </pivotArea>
    </format>
    <format dxfId="1737">
      <pivotArea field="0" dataOnly="0" labelOnly="1" grandRow="1" outline="0" axis="axisRow" fieldPosition="0">
        <references count="1">
          <reference field="4294967294" count="1" selected="0">
            <x v="35"/>
          </reference>
        </references>
      </pivotArea>
    </format>
    <format dxfId="1736">
      <pivotArea field="0" grandRow="1" outline="0" axis="axisRow" fieldPosition="0">
        <references count="1">
          <reference field="4294967294" count="1" selected="0">
            <x v="35"/>
          </reference>
        </references>
      </pivotArea>
    </format>
    <format dxfId="1735">
      <pivotArea field="0" dataOnly="0" labelOnly="1" grandRow="1" outline="0" offset="IV256" axis="axisRow" fieldPosition="0">
        <references count="1">
          <reference field="4294967294" count="1" selected="0">
            <x v="0"/>
          </reference>
        </references>
      </pivotArea>
    </format>
    <format dxfId="1734">
      <pivotArea field="0" dataOnly="0" labelOnly="1" grandRow="1" outline="0" offset="IV256" axis="axisRow" fieldPosition="0">
        <references count="1">
          <reference field="4294967294" count="1" selected="0">
            <x v="1"/>
          </reference>
        </references>
      </pivotArea>
    </format>
    <format dxfId="1733">
      <pivotArea field="0" dataOnly="0" labelOnly="1" grandRow="1" outline="0" offset="IV256" axis="axisRow" fieldPosition="0">
        <references count="1">
          <reference field="4294967294" count="1" selected="0">
            <x v="3"/>
          </reference>
        </references>
      </pivotArea>
    </format>
    <format dxfId="1732">
      <pivotArea field="0" dataOnly="0" labelOnly="1" grandRow="1" outline="0" offset="IV256" axis="axisRow" fieldPosition="0">
        <references count="1">
          <reference field="4294967294" count="1" selected="0">
            <x v="4"/>
          </reference>
        </references>
      </pivotArea>
    </format>
    <format dxfId="1731">
      <pivotArea field="0" dataOnly="0" labelOnly="1" grandRow="1" outline="0" offset="IV256" axis="axisRow" fieldPosition="0">
        <references count="1">
          <reference field="4294967294" count="1" selected="0">
            <x v="5"/>
          </reference>
        </references>
      </pivotArea>
    </format>
    <format dxfId="1730">
      <pivotArea field="0" dataOnly="0" labelOnly="1" grandRow="1" outline="0" offset="IV256" axis="axisRow" fieldPosition="0">
        <references count="1">
          <reference field="4294967294" count="1" selected="0">
            <x v="6"/>
          </reference>
        </references>
      </pivotArea>
    </format>
    <format dxfId="1729">
      <pivotArea field="0" dataOnly="0" labelOnly="1" grandRow="1" outline="0" offset="IV256" axis="axisRow" fieldPosition="0">
        <references count="1">
          <reference field="4294967294" count="1" selected="0">
            <x v="7"/>
          </reference>
        </references>
      </pivotArea>
    </format>
    <format dxfId="1728">
      <pivotArea field="0" dataOnly="0" labelOnly="1" grandRow="1" outline="0" offset="IV256" axis="axisRow" fieldPosition="0">
        <references count="1">
          <reference field="4294967294" count="1" selected="0">
            <x v="8"/>
          </reference>
        </references>
      </pivotArea>
    </format>
    <format dxfId="1727">
      <pivotArea field="0" dataOnly="0" labelOnly="1" grandRow="1" outline="0" offset="IV256" axis="axisRow" fieldPosition="0">
        <references count="1">
          <reference field="4294967294" count="1" selected="0">
            <x v="9"/>
          </reference>
        </references>
      </pivotArea>
    </format>
    <format dxfId="1726">
      <pivotArea field="0" dataOnly="0" labelOnly="1" grandRow="1" outline="0" offset="IV256" axis="axisRow" fieldPosition="0">
        <references count="1">
          <reference field="4294967294" count="1" selected="0">
            <x v="10"/>
          </reference>
        </references>
      </pivotArea>
    </format>
    <format dxfId="1725">
      <pivotArea field="0" dataOnly="0" labelOnly="1" grandRow="1" outline="0" offset="IV256" axis="axisRow" fieldPosition="0">
        <references count="1">
          <reference field="4294967294" count="1" selected="0">
            <x v="11"/>
          </reference>
        </references>
      </pivotArea>
    </format>
    <format dxfId="1724">
      <pivotArea field="0" dataOnly="0" labelOnly="1" grandRow="1" outline="0" offset="IV256" axis="axisRow" fieldPosition="0">
        <references count="1">
          <reference field="4294967294" count="1" selected="0">
            <x v="12"/>
          </reference>
        </references>
      </pivotArea>
    </format>
    <format dxfId="1723">
      <pivotArea field="0" dataOnly="0" labelOnly="1" grandRow="1" outline="0" offset="IV256" axis="axisRow" fieldPosition="0">
        <references count="1">
          <reference field="4294967294" count="1" selected="0">
            <x v="13"/>
          </reference>
        </references>
      </pivotArea>
    </format>
    <format dxfId="1722">
      <pivotArea field="0" dataOnly="0" labelOnly="1" grandRow="1" outline="0" offset="IV256" axis="axisRow" fieldPosition="0">
        <references count="1">
          <reference field="4294967294" count="1" selected="0">
            <x v="14"/>
          </reference>
        </references>
      </pivotArea>
    </format>
    <format dxfId="1721">
      <pivotArea field="0" dataOnly="0" labelOnly="1" grandRow="1" outline="0" offset="IV256" axis="axisRow" fieldPosition="0">
        <references count="1">
          <reference field="4294967294" count="1" selected="0">
            <x v="15"/>
          </reference>
        </references>
      </pivotArea>
    </format>
    <format dxfId="1720">
      <pivotArea field="0" dataOnly="0" labelOnly="1" grandRow="1" outline="0" offset="IV256" axis="axisRow" fieldPosition="0">
        <references count="1">
          <reference field="4294967294" count="1" selected="0">
            <x v="16"/>
          </reference>
        </references>
      </pivotArea>
    </format>
    <format dxfId="1719">
      <pivotArea field="0" dataOnly="0" labelOnly="1" grandRow="1" outline="0" offset="IV256" axis="axisRow" fieldPosition="0">
        <references count="1">
          <reference field="4294967294" count="1" selected="0">
            <x v="17"/>
          </reference>
        </references>
      </pivotArea>
    </format>
    <format dxfId="1718">
      <pivotArea field="0" dataOnly="0" labelOnly="1" grandRow="1" outline="0" offset="IV256" axis="axisRow" fieldPosition="0">
        <references count="1">
          <reference field="4294967294" count="1" selected="0">
            <x v="18"/>
          </reference>
        </references>
      </pivotArea>
    </format>
    <format dxfId="1717">
      <pivotArea field="0" dataOnly="0" labelOnly="1" grandRow="1" outline="0" offset="IV256" axis="axisRow" fieldPosition="0">
        <references count="1">
          <reference field="4294967294" count="1" selected="0">
            <x v="19"/>
          </reference>
        </references>
      </pivotArea>
    </format>
    <format dxfId="1716">
      <pivotArea field="0" dataOnly="0" labelOnly="1" grandRow="1" outline="0" offset="IV256" axis="axisRow" fieldPosition="0">
        <references count="1">
          <reference field="4294967294" count="1" selected="0">
            <x v="20"/>
          </reference>
        </references>
      </pivotArea>
    </format>
    <format dxfId="1715">
      <pivotArea field="0" dataOnly="0" labelOnly="1" grandRow="1" outline="0" offset="IV256" axis="axisRow" fieldPosition="0">
        <references count="1">
          <reference field="4294967294" count="1" selected="0">
            <x v="21"/>
          </reference>
        </references>
      </pivotArea>
    </format>
    <format dxfId="1714">
      <pivotArea field="0" dataOnly="0" labelOnly="1" grandRow="1" outline="0" offset="IV256" axis="axisRow" fieldPosition="0">
        <references count="1">
          <reference field="4294967294" count="1" selected="0">
            <x v="22"/>
          </reference>
        </references>
      </pivotArea>
    </format>
    <format dxfId="1713">
      <pivotArea field="0" dataOnly="0" labelOnly="1" grandRow="1" outline="0" offset="IV256" axis="axisRow" fieldPosition="0">
        <references count="1">
          <reference field="4294967294" count="1" selected="0">
            <x v="23"/>
          </reference>
        </references>
      </pivotArea>
    </format>
    <format dxfId="1712">
      <pivotArea field="0" dataOnly="0" labelOnly="1" grandRow="1" outline="0" offset="IV256" axis="axisRow" fieldPosition="0">
        <references count="1">
          <reference field="4294967294" count="1" selected="0">
            <x v="24"/>
          </reference>
        </references>
      </pivotArea>
    </format>
    <format dxfId="1711">
      <pivotArea field="0" dataOnly="0" labelOnly="1" grandRow="1" outline="0" offset="IV256" axis="axisRow" fieldPosition="0">
        <references count="1">
          <reference field="4294967294" count="1" selected="0">
            <x v="25"/>
          </reference>
        </references>
      </pivotArea>
    </format>
    <format dxfId="1710">
      <pivotArea field="0" dataOnly="0" labelOnly="1" grandRow="1" outline="0" offset="IV256" axis="axisRow" fieldPosition="0">
        <references count="1">
          <reference field="4294967294" count="1" selected="0">
            <x v="26"/>
          </reference>
        </references>
      </pivotArea>
    </format>
    <format dxfId="1709">
      <pivotArea field="0" dataOnly="0" labelOnly="1" grandRow="1" outline="0" offset="IV256" axis="axisRow" fieldPosition="0">
        <references count="1">
          <reference field="4294967294" count="1" selected="0">
            <x v="27"/>
          </reference>
        </references>
      </pivotArea>
    </format>
    <format dxfId="1708">
      <pivotArea field="0" dataOnly="0" labelOnly="1" grandRow="1" outline="0" offset="IV256" axis="axisRow" fieldPosition="0">
        <references count="1">
          <reference field="4294967294" count="1" selected="0">
            <x v="28"/>
          </reference>
        </references>
      </pivotArea>
    </format>
    <format dxfId="1707">
      <pivotArea field="0" dataOnly="0" labelOnly="1" grandRow="1" outline="0" offset="IV256" axis="axisRow" fieldPosition="0">
        <references count="1">
          <reference field="4294967294" count="1" selected="0">
            <x v="29"/>
          </reference>
        </references>
      </pivotArea>
    </format>
    <format dxfId="1706">
      <pivotArea field="0" dataOnly="0" labelOnly="1" grandRow="1" outline="0" offset="IV256" axis="axisRow" fieldPosition="0">
        <references count="1">
          <reference field="4294967294" count="1" selected="0">
            <x v="30"/>
          </reference>
        </references>
      </pivotArea>
    </format>
    <format dxfId="1705">
      <pivotArea field="0" dataOnly="0" labelOnly="1" grandRow="1" outline="0" offset="IV256" axis="axisRow" fieldPosition="0">
        <references count="1">
          <reference field="4294967294" count="1" selected="0">
            <x v="31"/>
          </reference>
        </references>
      </pivotArea>
    </format>
    <format dxfId="1704">
      <pivotArea field="0" dataOnly="0" labelOnly="1" grandRow="1" outline="0" offset="IV256" axis="axisRow" fieldPosition="0">
        <references count="1">
          <reference field="4294967294" count="1" selected="0">
            <x v="32"/>
          </reference>
        </references>
      </pivotArea>
    </format>
    <format dxfId="1703">
      <pivotArea field="0" dataOnly="0" labelOnly="1" grandRow="1" outline="0" offset="IV256" axis="axisRow" fieldPosition="0">
        <references count="1">
          <reference field="4294967294" count="1" selected="0">
            <x v="33"/>
          </reference>
        </references>
      </pivotArea>
    </format>
    <format dxfId="1702">
      <pivotArea field="0" dataOnly="0" labelOnly="1" grandRow="1" outline="0" offset="IV256" axis="axisRow" fieldPosition="0">
        <references count="1">
          <reference field="4294967294" count="1" selected="0">
            <x v="34"/>
          </reference>
        </references>
      </pivotArea>
    </format>
    <format dxfId="1701">
      <pivotArea field="0" dataOnly="0" labelOnly="1" grandRow="1" outline="0" offset="IV256" axis="axisRow" fieldPosition="0">
        <references count="1">
          <reference field="4294967294" count="1" selected="0">
            <x v="35"/>
          </reference>
        </references>
      </pivotArea>
    </format>
    <format dxfId="1700">
      <pivotArea type="all" dataOnly="0" outline="0" fieldPosition="0"/>
    </format>
    <format dxfId="1699">
      <pivotArea type="all" dataOnly="0" outline="0" fieldPosition="0"/>
    </format>
    <format dxfId="1698">
      <pivotArea outline="0" fieldPosition="0">
        <references count="2">
          <reference field="4" count="1" selected="0">
            <x v="8"/>
          </reference>
          <reference field="70" count="1" selected="0">
            <x v="1"/>
          </reference>
        </references>
      </pivotArea>
    </format>
    <format dxfId="1697">
      <pivotArea dataOnly="0" labelOnly="1" outline="0" offset="B256" fieldPosition="0">
        <references count="1">
          <reference field="70" count="1">
            <x v="1"/>
          </reference>
        </references>
      </pivotArea>
    </format>
    <format dxfId="1696">
      <pivotArea dataOnly="0" labelOnly="1" outline="0" fieldPosition="0">
        <references count="2">
          <reference field="4" count="1">
            <x v="8"/>
          </reference>
          <reference field="70" count="1" selected="0">
            <x v="1"/>
          </reference>
        </references>
      </pivotArea>
    </format>
    <format dxfId="1695">
      <pivotArea outline="0" fieldPosition="0">
        <references count="2">
          <reference field="4" count="1" selected="0">
            <x v="7"/>
          </reference>
          <reference field="70" count="1" selected="0">
            <x v="1"/>
          </reference>
        </references>
      </pivotArea>
    </format>
    <format dxfId="1694">
      <pivotArea dataOnly="0" labelOnly="1" outline="0" fieldPosition="0">
        <references count="2">
          <reference field="4" count="1">
            <x v="7"/>
          </reference>
          <reference field="70" count="1" selected="0">
            <x v="1"/>
          </reference>
        </references>
      </pivotArea>
    </format>
    <format dxfId="1693">
      <pivotArea dataOnly="0" labelOnly="1" outline="0" offset="A256" fieldPosition="0">
        <references count="1">
          <reference field="70" count="1">
            <x v="1"/>
          </reference>
        </references>
      </pivotArea>
    </format>
    <format dxfId="1692">
      <pivotArea outline="0" fieldPosition="0">
        <references count="2">
          <reference field="4" count="1" selected="0">
            <x v="11"/>
          </reference>
          <reference field="70" count="1" selected="0">
            <x v="2"/>
          </reference>
        </references>
      </pivotArea>
    </format>
    <format dxfId="1691">
      <pivotArea dataOnly="0" labelOnly="1" outline="0" fieldPosition="0">
        <references count="2">
          <reference field="4" count="1">
            <x v="11"/>
          </reference>
          <reference field="70" count="1" selected="0">
            <x v="2"/>
          </reference>
        </references>
      </pivotArea>
    </format>
    <format dxfId="1690">
      <pivotArea outline="0" fieldPosition="0">
        <references count="2">
          <reference field="4294967294" count="1" selected="0">
            <x v="35"/>
          </reference>
          <reference field="0" count="1" selected="0">
            <x v="0"/>
          </reference>
        </references>
      </pivotArea>
    </format>
    <format dxfId="1689">
      <pivotArea dataOnly="0" labelOnly="1" outline="0" offset="IV256" fieldPosition="0">
        <references count="1">
          <reference field="0" count="1">
            <x v="0"/>
          </reference>
        </references>
      </pivotArea>
    </format>
    <format dxfId="1688">
      <pivotArea dataOnly="0" labelOnly="1" outline="0" fieldPosition="0">
        <references count="2">
          <reference field="4294967294" count="1">
            <x v="35"/>
          </reference>
          <reference field="0" count="1" selected="0">
            <x v="0"/>
          </reference>
        </references>
      </pivotArea>
    </format>
    <format dxfId="1687">
      <pivotArea outline="0" fieldPosition="0">
        <references count="1">
          <reference field="70" count="3" selected="0" defaultSubtotal="1">
            <x v="0"/>
            <x v="1"/>
            <x v="2"/>
          </reference>
        </references>
      </pivotArea>
    </format>
    <format dxfId="1686">
      <pivotArea dataOnly="0" labelOnly="1" outline="0" offset="IV256" fieldPosition="0">
        <references count="1">
          <reference field="70" count="1" defaultSubtotal="1">
            <x v="0"/>
          </reference>
        </references>
      </pivotArea>
    </format>
    <format dxfId="1685">
      <pivotArea dataOnly="0" labelOnly="1" outline="0" offset="IV256" fieldPosition="0">
        <references count="1">
          <reference field="70" count="1" defaultSubtotal="1">
            <x v="1"/>
          </reference>
        </references>
      </pivotArea>
    </format>
    <format dxfId="1684">
      <pivotArea dataOnly="0" labelOnly="1" outline="0" offset="IV256" fieldPosition="0">
        <references count="1">
          <reference field="70" count="1" defaultSubtotal="1">
            <x v="2"/>
          </reference>
        </references>
      </pivotArea>
    </format>
    <format dxfId="1683">
      <pivotArea dataOnly="0" labelOnly="1" outline="0" fieldPosition="0">
        <references count="2">
          <reference field="4" count="7">
            <x v="0"/>
            <x v="1"/>
            <x v="2"/>
            <x v="3"/>
            <x v="4"/>
            <x v="5"/>
            <x v="6"/>
          </reference>
          <reference field="70" count="1" selected="0">
            <x v="0"/>
          </reference>
        </references>
      </pivotArea>
    </format>
    <format dxfId="1682">
      <pivotArea dataOnly="0" labelOnly="1" outline="0" fieldPosition="0">
        <references count="2">
          <reference field="4" count="4">
            <x v="7"/>
            <x v="8"/>
            <x v="9"/>
            <x v="10"/>
          </reference>
          <reference field="70" count="1" selected="0">
            <x v="1"/>
          </reference>
        </references>
      </pivotArea>
    </format>
    <format dxfId="1681">
      <pivotArea dataOnly="0" labelOnly="1" outline="0" fieldPosition="0">
        <references count="2">
          <reference field="4" count="2">
            <x v="11"/>
            <x v="12"/>
          </reference>
          <reference field="70" count="1" selected="0">
            <x v="2"/>
          </reference>
        </references>
      </pivotArea>
    </format>
    <format dxfId="1680">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1679">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1678">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1677">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1676">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1675">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1674">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1673">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1672">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1671">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1670">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669">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1668">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1667">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1666">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1665">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1664">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1663">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1662">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1661">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1660">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1659">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1658">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1657">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1656">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1655">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1654">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1653">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1652">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1651">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1650">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1649">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1648">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1647">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1646">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1645">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1644">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1643">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1642">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1641">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1640">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1639">
      <pivotArea type="all" dataOnly="0" outline="0" fieldPosition="0"/>
    </format>
    <format dxfId="1638">
      <pivotArea outline="0" fieldPosition="0"/>
    </format>
    <format dxfId="1637">
      <pivotArea type="origin" dataOnly="0" labelOnly="1" outline="0" fieldPosition="0"/>
    </format>
    <format dxfId="1636">
      <pivotArea field="70" type="button" dataOnly="0" labelOnly="1" outline="0" axis="axisCol" fieldPosition="0"/>
    </format>
    <format dxfId="1635">
      <pivotArea field="4" type="button" dataOnly="0" labelOnly="1" outline="0" axis="axisCol" fieldPosition="1"/>
    </format>
    <format dxfId="1634">
      <pivotArea type="topRight" dataOnly="0" labelOnly="1" outline="0" fieldPosition="0"/>
    </format>
    <format dxfId="1633">
      <pivotArea field="0" type="button" dataOnly="0" labelOnly="1" outline="0" axis="axisRow" fieldPosition="0"/>
    </format>
    <format dxfId="1632">
      <pivotArea field="-2" type="button" dataOnly="0" labelOnly="1" outline="0" axis="axisRow" fieldPosition="1"/>
    </format>
    <format dxfId="1631">
      <pivotArea dataOnly="0" labelOnly="1" outline="0" fieldPosition="0">
        <references count="1">
          <reference field="0" count="0"/>
        </references>
      </pivotArea>
    </format>
    <format dxfId="1630">
      <pivotArea field="0" dataOnly="0" labelOnly="1" grandRow="1" outline="0" axis="axisRow" fieldPosition="0">
        <references count="1">
          <reference field="4294967294" count="1" selected="0">
            <x v="0"/>
          </reference>
        </references>
      </pivotArea>
    </format>
    <format dxfId="1629">
      <pivotArea field="0" dataOnly="0" labelOnly="1" grandRow="1" outline="0" axis="axisRow" fieldPosition="0">
        <references count="1">
          <reference field="4294967294" count="1" selected="0">
            <x v="1"/>
          </reference>
        </references>
      </pivotArea>
    </format>
    <format dxfId="1628">
      <pivotArea field="0" dataOnly="0" labelOnly="1" grandRow="1" outline="0" axis="axisRow" fieldPosition="0">
        <references count="1">
          <reference field="4294967294" count="1" selected="0">
            <x v="2"/>
          </reference>
        </references>
      </pivotArea>
    </format>
    <format dxfId="1627">
      <pivotArea field="0" dataOnly="0" labelOnly="1" grandRow="1" outline="0" axis="axisRow" fieldPosition="0">
        <references count="1">
          <reference field="4294967294" count="1" selected="0">
            <x v="3"/>
          </reference>
        </references>
      </pivotArea>
    </format>
    <format dxfId="1626">
      <pivotArea field="0" dataOnly="0" labelOnly="1" grandRow="1" outline="0" axis="axisRow" fieldPosition="0">
        <references count="1">
          <reference field="4294967294" count="1" selected="0">
            <x v="4"/>
          </reference>
        </references>
      </pivotArea>
    </format>
    <format dxfId="1625">
      <pivotArea field="0" dataOnly="0" labelOnly="1" grandRow="1" outline="0" axis="axisRow" fieldPosition="0">
        <references count="1">
          <reference field="4294967294" count="1" selected="0">
            <x v="5"/>
          </reference>
        </references>
      </pivotArea>
    </format>
    <format dxfId="1624">
      <pivotArea field="0" dataOnly="0" labelOnly="1" grandRow="1" outline="0" axis="axisRow" fieldPosition="0">
        <references count="1">
          <reference field="4294967294" count="1" selected="0">
            <x v="6"/>
          </reference>
        </references>
      </pivotArea>
    </format>
    <format dxfId="1623">
      <pivotArea field="0" dataOnly="0" labelOnly="1" grandRow="1" outline="0" axis="axisRow" fieldPosition="0">
        <references count="1">
          <reference field="4294967294" count="1" selected="0">
            <x v="7"/>
          </reference>
        </references>
      </pivotArea>
    </format>
    <format dxfId="1622">
      <pivotArea field="0" dataOnly="0" labelOnly="1" grandRow="1" outline="0" axis="axisRow" fieldPosition="0">
        <references count="1">
          <reference field="4294967294" count="1" selected="0">
            <x v="8"/>
          </reference>
        </references>
      </pivotArea>
    </format>
    <format dxfId="1621">
      <pivotArea field="0" dataOnly="0" labelOnly="1" grandRow="1" outline="0" axis="axisRow" fieldPosition="0">
        <references count="1">
          <reference field="4294967294" count="1" selected="0">
            <x v="9"/>
          </reference>
        </references>
      </pivotArea>
    </format>
    <format dxfId="1620">
      <pivotArea field="0" dataOnly="0" labelOnly="1" grandRow="1" outline="0" axis="axisRow" fieldPosition="0">
        <references count="1">
          <reference field="4294967294" count="1" selected="0">
            <x v="10"/>
          </reference>
        </references>
      </pivotArea>
    </format>
    <format dxfId="1619">
      <pivotArea field="0" dataOnly="0" labelOnly="1" grandRow="1" outline="0" axis="axisRow" fieldPosition="0">
        <references count="1">
          <reference field="4294967294" count="1" selected="0">
            <x v="11"/>
          </reference>
        </references>
      </pivotArea>
    </format>
    <format dxfId="1618">
      <pivotArea field="0" dataOnly="0" labelOnly="1" grandRow="1" outline="0" axis="axisRow" fieldPosition="0">
        <references count="1">
          <reference field="4294967294" count="1" selected="0">
            <x v="12"/>
          </reference>
        </references>
      </pivotArea>
    </format>
    <format dxfId="1617">
      <pivotArea field="0" dataOnly="0" labelOnly="1" grandRow="1" outline="0" axis="axisRow" fieldPosition="0">
        <references count="1">
          <reference field="4294967294" count="1" selected="0">
            <x v="13"/>
          </reference>
        </references>
      </pivotArea>
    </format>
    <format dxfId="1616">
      <pivotArea field="0" dataOnly="0" labelOnly="1" grandRow="1" outline="0" axis="axisRow" fieldPosition="0">
        <references count="1">
          <reference field="4294967294" count="1" selected="0">
            <x v="14"/>
          </reference>
        </references>
      </pivotArea>
    </format>
    <format dxfId="1615">
      <pivotArea field="0" dataOnly="0" labelOnly="1" grandRow="1" outline="0" axis="axisRow" fieldPosition="0">
        <references count="1">
          <reference field="4294967294" count="1" selected="0">
            <x v="15"/>
          </reference>
        </references>
      </pivotArea>
    </format>
    <format dxfId="1614">
      <pivotArea field="0" dataOnly="0" labelOnly="1" grandRow="1" outline="0" axis="axisRow" fieldPosition="0">
        <references count="1">
          <reference field="4294967294" count="1" selected="0">
            <x v="16"/>
          </reference>
        </references>
      </pivotArea>
    </format>
    <format dxfId="1613">
      <pivotArea field="0" dataOnly="0" labelOnly="1" grandRow="1" outline="0" axis="axisRow" fieldPosition="0">
        <references count="1">
          <reference field="4294967294" count="1" selected="0">
            <x v="17"/>
          </reference>
        </references>
      </pivotArea>
    </format>
    <format dxfId="1612">
      <pivotArea field="0" dataOnly="0" labelOnly="1" grandRow="1" outline="0" axis="axisRow" fieldPosition="0">
        <references count="1">
          <reference field="4294967294" count="1" selected="0">
            <x v="18"/>
          </reference>
        </references>
      </pivotArea>
    </format>
    <format dxfId="1611">
      <pivotArea field="0" dataOnly="0" labelOnly="1" grandRow="1" outline="0" axis="axisRow" fieldPosition="0">
        <references count="1">
          <reference field="4294967294" count="1" selected="0">
            <x v="19"/>
          </reference>
        </references>
      </pivotArea>
    </format>
    <format dxfId="1610">
      <pivotArea field="0" dataOnly="0" labelOnly="1" grandRow="1" outline="0" axis="axisRow" fieldPosition="0">
        <references count="1">
          <reference field="4294967294" count="1" selected="0">
            <x v="20"/>
          </reference>
        </references>
      </pivotArea>
    </format>
    <format dxfId="1609">
      <pivotArea field="0" dataOnly="0" labelOnly="1" grandRow="1" outline="0" axis="axisRow" fieldPosition="0">
        <references count="1">
          <reference field="4294967294" count="1" selected="0">
            <x v="21"/>
          </reference>
        </references>
      </pivotArea>
    </format>
    <format dxfId="1608">
      <pivotArea field="0" dataOnly="0" labelOnly="1" grandRow="1" outline="0" axis="axisRow" fieldPosition="0">
        <references count="1">
          <reference field="4294967294" count="1" selected="0">
            <x v="22"/>
          </reference>
        </references>
      </pivotArea>
    </format>
    <format dxfId="1607">
      <pivotArea field="0" dataOnly="0" labelOnly="1" grandRow="1" outline="0" axis="axisRow" fieldPosition="0">
        <references count="1">
          <reference field="4294967294" count="1" selected="0">
            <x v="23"/>
          </reference>
        </references>
      </pivotArea>
    </format>
    <format dxfId="1606">
      <pivotArea field="0" dataOnly="0" labelOnly="1" grandRow="1" outline="0" axis="axisRow" fieldPosition="0">
        <references count="1">
          <reference field="4294967294" count="1" selected="0">
            <x v="24"/>
          </reference>
        </references>
      </pivotArea>
    </format>
    <format dxfId="1605">
      <pivotArea field="0" dataOnly="0" labelOnly="1" grandRow="1" outline="0" axis="axisRow" fieldPosition="0">
        <references count="1">
          <reference field="4294967294" count="1" selected="0">
            <x v="25"/>
          </reference>
        </references>
      </pivotArea>
    </format>
    <format dxfId="1604">
      <pivotArea field="0" dataOnly="0" labelOnly="1" grandRow="1" outline="0" axis="axisRow" fieldPosition="0">
        <references count="1">
          <reference field="4294967294" count="1" selected="0">
            <x v="26"/>
          </reference>
        </references>
      </pivotArea>
    </format>
    <format dxfId="1603">
      <pivotArea field="0" dataOnly="0" labelOnly="1" grandRow="1" outline="0" axis="axisRow" fieldPosition="0">
        <references count="1">
          <reference field="4294967294" count="1" selected="0">
            <x v="27"/>
          </reference>
        </references>
      </pivotArea>
    </format>
    <format dxfId="1602">
      <pivotArea field="0" dataOnly="0" labelOnly="1" grandRow="1" outline="0" axis="axisRow" fieldPosition="0">
        <references count="1">
          <reference field="4294967294" count="1" selected="0">
            <x v="28"/>
          </reference>
        </references>
      </pivotArea>
    </format>
    <format dxfId="1601">
      <pivotArea field="0" dataOnly="0" labelOnly="1" grandRow="1" outline="0" axis="axisRow" fieldPosition="0">
        <references count="1">
          <reference field="4294967294" count="1" selected="0">
            <x v="29"/>
          </reference>
        </references>
      </pivotArea>
    </format>
    <format dxfId="1600">
      <pivotArea field="0" dataOnly="0" labelOnly="1" grandRow="1" outline="0" axis="axisRow" fieldPosition="0">
        <references count="1">
          <reference field="4294967294" count="1" selected="0">
            <x v="30"/>
          </reference>
        </references>
      </pivotArea>
    </format>
    <format dxfId="1599">
      <pivotArea field="0" dataOnly="0" labelOnly="1" grandRow="1" outline="0" axis="axisRow" fieldPosition="0">
        <references count="1">
          <reference field="4294967294" count="1" selected="0">
            <x v="31"/>
          </reference>
        </references>
      </pivotArea>
    </format>
    <format dxfId="1598">
      <pivotArea field="0" dataOnly="0" labelOnly="1" grandRow="1" outline="0" axis="axisRow" fieldPosition="0">
        <references count="1">
          <reference field="4294967294" count="1" selected="0">
            <x v="32"/>
          </reference>
        </references>
      </pivotArea>
    </format>
    <format dxfId="1597">
      <pivotArea field="0" dataOnly="0" labelOnly="1" grandRow="1" outline="0" axis="axisRow" fieldPosition="0">
        <references count="1">
          <reference field="4294967294" count="1" selected="0">
            <x v="33"/>
          </reference>
        </references>
      </pivotArea>
    </format>
    <format dxfId="1596">
      <pivotArea field="0" dataOnly="0" labelOnly="1" grandRow="1" outline="0" axis="axisRow" fieldPosition="0">
        <references count="1">
          <reference field="4294967294" count="1" selected="0">
            <x v="34"/>
          </reference>
        </references>
      </pivotArea>
    </format>
    <format dxfId="1595">
      <pivotArea field="0" dataOnly="0" labelOnly="1" grandRow="1" outline="0" axis="axisRow" fieldPosition="0">
        <references count="1">
          <reference field="4294967294" count="1" selected="0">
            <x v="35"/>
          </reference>
        </references>
      </pivotArea>
    </format>
    <format dxfId="1594">
      <pivotArea field="0" dataOnly="0" labelOnly="1" grandRow="1" outline="0" axis="axisRow" fieldPosition="0">
        <references count="1">
          <reference field="4294967294" count="1" selected="0">
            <x v="0"/>
          </reference>
        </references>
      </pivotArea>
    </format>
    <format dxfId="1593">
      <pivotArea field="0" dataOnly="0" labelOnly="1" grandRow="1" outline="0" axis="axisRow" fieldPosition="0">
        <references count="1">
          <reference field="4294967294" count="1" selected="0">
            <x v="1"/>
          </reference>
        </references>
      </pivotArea>
    </format>
    <format dxfId="1592">
      <pivotArea field="0" dataOnly="0" labelOnly="1" grandRow="1" outline="0" axis="axisRow" fieldPosition="0">
        <references count="1">
          <reference field="4294967294" count="1" selected="0">
            <x v="2"/>
          </reference>
        </references>
      </pivotArea>
    </format>
    <format dxfId="1591">
      <pivotArea field="0" dataOnly="0" labelOnly="1" grandRow="1" outline="0" axis="axisRow" fieldPosition="0">
        <references count="1">
          <reference field="4294967294" count="1" selected="0">
            <x v="3"/>
          </reference>
        </references>
      </pivotArea>
    </format>
    <format dxfId="1590">
      <pivotArea field="0" dataOnly="0" labelOnly="1" grandRow="1" outline="0" axis="axisRow" fieldPosition="0">
        <references count="1">
          <reference field="4294967294" count="1" selected="0">
            <x v="4"/>
          </reference>
        </references>
      </pivotArea>
    </format>
    <format dxfId="1589">
      <pivotArea field="0" dataOnly="0" labelOnly="1" grandRow="1" outline="0" axis="axisRow" fieldPosition="0">
        <references count="1">
          <reference field="4294967294" count="1" selected="0">
            <x v="5"/>
          </reference>
        </references>
      </pivotArea>
    </format>
    <format dxfId="1588">
      <pivotArea field="0" dataOnly="0" labelOnly="1" grandRow="1" outline="0" axis="axisRow" fieldPosition="0">
        <references count="1">
          <reference field="4294967294" count="1" selected="0">
            <x v="6"/>
          </reference>
        </references>
      </pivotArea>
    </format>
    <format dxfId="1587">
      <pivotArea field="0" dataOnly="0" labelOnly="1" grandRow="1" outline="0" axis="axisRow" fieldPosition="0">
        <references count="1">
          <reference field="4294967294" count="1" selected="0">
            <x v="7"/>
          </reference>
        </references>
      </pivotArea>
    </format>
    <format dxfId="1586">
      <pivotArea field="0" dataOnly="0" labelOnly="1" grandRow="1" outline="0" axis="axisRow" fieldPosition="0">
        <references count="1">
          <reference field="4294967294" count="1" selected="0">
            <x v="8"/>
          </reference>
        </references>
      </pivotArea>
    </format>
    <format dxfId="1585">
      <pivotArea field="0" dataOnly="0" labelOnly="1" grandRow="1" outline="0" axis="axisRow" fieldPosition="0">
        <references count="1">
          <reference field="4294967294" count="1" selected="0">
            <x v="9"/>
          </reference>
        </references>
      </pivotArea>
    </format>
    <format dxfId="1584">
      <pivotArea field="0" dataOnly="0" labelOnly="1" grandRow="1" outline="0" axis="axisRow" fieldPosition="0">
        <references count="1">
          <reference field="4294967294" count="1" selected="0">
            <x v="10"/>
          </reference>
        </references>
      </pivotArea>
    </format>
    <format dxfId="1583">
      <pivotArea field="0" dataOnly="0" labelOnly="1" grandRow="1" outline="0" axis="axisRow" fieldPosition="0">
        <references count="1">
          <reference field="4294967294" count="1" selected="0">
            <x v="11"/>
          </reference>
        </references>
      </pivotArea>
    </format>
    <format dxfId="1582">
      <pivotArea field="0" dataOnly="0" labelOnly="1" grandRow="1" outline="0" axis="axisRow" fieldPosition="0">
        <references count="1">
          <reference field="4294967294" count="1" selected="0">
            <x v="12"/>
          </reference>
        </references>
      </pivotArea>
    </format>
    <format dxfId="1581">
      <pivotArea field="0" dataOnly="0" labelOnly="1" grandRow="1" outline="0" axis="axisRow" fieldPosition="0">
        <references count="1">
          <reference field="4294967294" count="1" selected="0">
            <x v="13"/>
          </reference>
        </references>
      </pivotArea>
    </format>
    <format dxfId="1580">
      <pivotArea field="0" dataOnly="0" labelOnly="1" grandRow="1" outline="0" axis="axisRow" fieldPosition="0">
        <references count="1">
          <reference field="4294967294" count="1" selected="0">
            <x v="14"/>
          </reference>
        </references>
      </pivotArea>
    </format>
    <format dxfId="1579">
      <pivotArea field="0" dataOnly="0" labelOnly="1" grandRow="1" outline="0" axis="axisRow" fieldPosition="0">
        <references count="1">
          <reference field="4294967294" count="1" selected="0">
            <x v="15"/>
          </reference>
        </references>
      </pivotArea>
    </format>
    <format dxfId="1578">
      <pivotArea field="0" dataOnly="0" labelOnly="1" grandRow="1" outline="0" axis="axisRow" fieldPosition="0">
        <references count="1">
          <reference field="4294967294" count="1" selected="0">
            <x v="16"/>
          </reference>
        </references>
      </pivotArea>
    </format>
    <format dxfId="1577">
      <pivotArea field="0" dataOnly="0" labelOnly="1" grandRow="1" outline="0" axis="axisRow" fieldPosition="0">
        <references count="1">
          <reference field="4294967294" count="1" selected="0">
            <x v="17"/>
          </reference>
        </references>
      </pivotArea>
    </format>
    <format dxfId="1576">
      <pivotArea field="0" dataOnly="0" labelOnly="1" grandRow="1" outline="0" axis="axisRow" fieldPosition="0">
        <references count="1">
          <reference field="4294967294" count="1" selected="0">
            <x v="18"/>
          </reference>
        </references>
      </pivotArea>
    </format>
    <format dxfId="1575">
      <pivotArea field="0" dataOnly="0" labelOnly="1" grandRow="1" outline="0" axis="axisRow" fieldPosition="0">
        <references count="1">
          <reference field="4294967294" count="1" selected="0">
            <x v="19"/>
          </reference>
        </references>
      </pivotArea>
    </format>
    <format dxfId="1574">
      <pivotArea field="0" dataOnly="0" labelOnly="1" grandRow="1" outline="0" axis="axisRow" fieldPosition="0">
        <references count="1">
          <reference field="4294967294" count="1" selected="0">
            <x v="20"/>
          </reference>
        </references>
      </pivotArea>
    </format>
    <format dxfId="1573">
      <pivotArea field="0" dataOnly="0" labelOnly="1" grandRow="1" outline="0" axis="axisRow" fieldPosition="0">
        <references count="1">
          <reference field="4294967294" count="1" selected="0">
            <x v="21"/>
          </reference>
        </references>
      </pivotArea>
    </format>
    <format dxfId="1572">
      <pivotArea field="0" dataOnly="0" labelOnly="1" grandRow="1" outline="0" axis="axisRow" fieldPosition="0">
        <references count="1">
          <reference field="4294967294" count="1" selected="0">
            <x v="22"/>
          </reference>
        </references>
      </pivotArea>
    </format>
    <format dxfId="1571">
      <pivotArea field="0" dataOnly="0" labelOnly="1" grandRow="1" outline="0" axis="axisRow" fieldPosition="0">
        <references count="1">
          <reference field="4294967294" count="1" selected="0">
            <x v="23"/>
          </reference>
        </references>
      </pivotArea>
    </format>
    <format dxfId="1570">
      <pivotArea field="0" dataOnly="0" labelOnly="1" grandRow="1" outline="0" axis="axisRow" fieldPosition="0">
        <references count="1">
          <reference field="4294967294" count="1" selected="0">
            <x v="24"/>
          </reference>
        </references>
      </pivotArea>
    </format>
    <format dxfId="1569">
      <pivotArea field="0" dataOnly="0" labelOnly="1" grandRow="1" outline="0" axis="axisRow" fieldPosition="0">
        <references count="1">
          <reference field="4294967294" count="1" selected="0">
            <x v="25"/>
          </reference>
        </references>
      </pivotArea>
    </format>
    <format dxfId="1568">
      <pivotArea field="0" dataOnly="0" labelOnly="1" grandRow="1" outline="0" axis="axisRow" fieldPosition="0">
        <references count="1">
          <reference field="4294967294" count="1" selected="0">
            <x v="26"/>
          </reference>
        </references>
      </pivotArea>
    </format>
    <format dxfId="1567">
      <pivotArea field="0" dataOnly="0" labelOnly="1" grandRow="1" outline="0" axis="axisRow" fieldPosition="0">
        <references count="1">
          <reference field="4294967294" count="1" selected="0">
            <x v="27"/>
          </reference>
        </references>
      </pivotArea>
    </format>
    <format dxfId="1566">
      <pivotArea field="0" dataOnly="0" labelOnly="1" grandRow="1" outline="0" axis="axisRow" fieldPosition="0">
        <references count="1">
          <reference field="4294967294" count="1" selected="0">
            <x v="28"/>
          </reference>
        </references>
      </pivotArea>
    </format>
    <format dxfId="1565">
      <pivotArea field="0" dataOnly="0" labelOnly="1" grandRow="1" outline="0" axis="axisRow" fieldPosition="0">
        <references count="1">
          <reference field="4294967294" count="1" selected="0">
            <x v="29"/>
          </reference>
        </references>
      </pivotArea>
    </format>
    <format dxfId="1564">
      <pivotArea field="0" dataOnly="0" labelOnly="1" grandRow="1" outline="0" axis="axisRow" fieldPosition="0">
        <references count="1">
          <reference field="4294967294" count="1" selected="0">
            <x v="30"/>
          </reference>
        </references>
      </pivotArea>
    </format>
    <format dxfId="1563">
      <pivotArea field="0" dataOnly="0" labelOnly="1" grandRow="1" outline="0" axis="axisRow" fieldPosition="0">
        <references count="1">
          <reference field="4294967294" count="1" selected="0">
            <x v="31"/>
          </reference>
        </references>
      </pivotArea>
    </format>
    <format dxfId="1562">
      <pivotArea field="0" dataOnly="0" labelOnly="1" grandRow="1" outline="0" axis="axisRow" fieldPosition="0">
        <references count="1">
          <reference field="4294967294" count="1" selected="0">
            <x v="32"/>
          </reference>
        </references>
      </pivotArea>
    </format>
    <format dxfId="1561">
      <pivotArea field="0" dataOnly="0" labelOnly="1" grandRow="1" outline="0" axis="axisRow" fieldPosition="0">
        <references count="1">
          <reference field="4294967294" count="1" selected="0">
            <x v="33"/>
          </reference>
        </references>
      </pivotArea>
    </format>
    <format dxfId="1560">
      <pivotArea field="0" dataOnly="0" labelOnly="1" grandRow="1" outline="0" axis="axisRow" fieldPosition="0">
        <references count="1">
          <reference field="4294967294" count="1" selected="0">
            <x v="34"/>
          </reference>
        </references>
      </pivotArea>
    </format>
    <format dxfId="1559">
      <pivotArea field="0" dataOnly="0" labelOnly="1" grandRow="1" outline="0" axis="axisRow" fieldPosition="0">
        <references count="1">
          <reference field="4294967294" count="1" selected="0">
            <x v="35"/>
          </reference>
        </references>
      </pivotArea>
    </format>
    <format dxfId="1558">
      <pivotArea field="0" dataOnly="0" labelOnly="1" grandRow="1" outline="0" axis="axisRow" fieldPosition="0">
        <references count="1">
          <reference field="4294967294" count="1" selected="0">
            <x v="0"/>
          </reference>
        </references>
      </pivotArea>
    </format>
    <format dxfId="1557">
      <pivotArea field="0" dataOnly="0" labelOnly="1" grandRow="1" outline="0" axis="axisRow" fieldPosition="0">
        <references count="1">
          <reference field="4294967294" count="1" selected="0">
            <x v="1"/>
          </reference>
        </references>
      </pivotArea>
    </format>
    <format dxfId="1556">
      <pivotArea field="0" dataOnly="0" labelOnly="1" grandRow="1" outline="0" axis="axisRow" fieldPosition="0">
        <references count="1">
          <reference field="4294967294" count="1" selected="0">
            <x v="2"/>
          </reference>
        </references>
      </pivotArea>
    </format>
    <format dxfId="1555">
      <pivotArea field="0" dataOnly="0" labelOnly="1" grandRow="1" outline="0" axis="axisRow" fieldPosition="0">
        <references count="1">
          <reference field="4294967294" count="1" selected="0">
            <x v="3"/>
          </reference>
        </references>
      </pivotArea>
    </format>
    <format dxfId="1554">
      <pivotArea field="0" dataOnly="0" labelOnly="1" grandRow="1" outline="0" axis="axisRow" fieldPosition="0">
        <references count="1">
          <reference field="4294967294" count="1" selected="0">
            <x v="4"/>
          </reference>
        </references>
      </pivotArea>
    </format>
    <format dxfId="1553">
      <pivotArea field="0" dataOnly="0" labelOnly="1" grandRow="1" outline="0" axis="axisRow" fieldPosition="0">
        <references count="1">
          <reference field="4294967294" count="1" selected="0">
            <x v="5"/>
          </reference>
        </references>
      </pivotArea>
    </format>
    <format dxfId="1552">
      <pivotArea field="0" dataOnly="0" labelOnly="1" grandRow="1" outline="0" axis="axisRow" fieldPosition="0">
        <references count="1">
          <reference field="4294967294" count="1" selected="0">
            <x v="6"/>
          </reference>
        </references>
      </pivotArea>
    </format>
    <format dxfId="1551">
      <pivotArea field="0" dataOnly="0" labelOnly="1" grandRow="1" outline="0" axis="axisRow" fieldPosition="0">
        <references count="1">
          <reference field="4294967294" count="1" selected="0">
            <x v="7"/>
          </reference>
        </references>
      </pivotArea>
    </format>
    <format dxfId="1550">
      <pivotArea field="0" dataOnly="0" labelOnly="1" grandRow="1" outline="0" axis="axisRow" fieldPosition="0">
        <references count="1">
          <reference field="4294967294" count="1" selected="0">
            <x v="8"/>
          </reference>
        </references>
      </pivotArea>
    </format>
    <format dxfId="1549">
      <pivotArea field="0" dataOnly="0" labelOnly="1" grandRow="1" outline="0" axis="axisRow" fieldPosition="0">
        <references count="1">
          <reference field="4294967294" count="1" selected="0">
            <x v="9"/>
          </reference>
        </references>
      </pivotArea>
    </format>
    <format dxfId="1548">
      <pivotArea field="0" dataOnly="0" labelOnly="1" grandRow="1" outline="0" axis="axisRow" fieldPosition="0">
        <references count="1">
          <reference field="4294967294" count="1" selected="0">
            <x v="10"/>
          </reference>
        </references>
      </pivotArea>
    </format>
    <format dxfId="1547">
      <pivotArea field="0" dataOnly="0" labelOnly="1" grandRow="1" outline="0" axis="axisRow" fieldPosition="0">
        <references count="1">
          <reference field="4294967294" count="1" selected="0">
            <x v="11"/>
          </reference>
        </references>
      </pivotArea>
    </format>
    <format dxfId="1546">
      <pivotArea field="0" dataOnly="0" labelOnly="1" grandRow="1" outline="0" axis="axisRow" fieldPosition="0">
        <references count="1">
          <reference field="4294967294" count="1" selected="0">
            <x v="12"/>
          </reference>
        </references>
      </pivotArea>
    </format>
    <format dxfId="1545">
      <pivotArea field="0" dataOnly="0" labelOnly="1" grandRow="1" outline="0" axis="axisRow" fieldPosition="0">
        <references count="1">
          <reference field="4294967294" count="1" selected="0">
            <x v="13"/>
          </reference>
        </references>
      </pivotArea>
    </format>
    <format dxfId="1544">
      <pivotArea field="0" dataOnly="0" labelOnly="1" grandRow="1" outline="0" axis="axisRow" fieldPosition="0">
        <references count="1">
          <reference field="4294967294" count="1" selected="0">
            <x v="14"/>
          </reference>
        </references>
      </pivotArea>
    </format>
    <format dxfId="1543">
      <pivotArea field="0" dataOnly="0" labelOnly="1" grandRow="1" outline="0" axis="axisRow" fieldPosition="0">
        <references count="1">
          <reference field="4294967294" count="1" selected="0">
            <x v="15"/>
          </reference>
        </references>
      </pivotArea>
    </format>
    <format dxfId="1542">
      <pivotArea field="0" dataOnly="0" labelOnly="1" grandRow="1" outline="0" axis="axisRow" fieldPosition="0">
        <references count="1">
          <reference field="4294967294" count="1" selected="0">
            <x v="16"/>
          </reference>
        </references>
      </pivotArea>
    </format>
    <format dxfId="1541">
      <pivotArea field="0" dataOnly="0" labelOnly="1" grandRow="1" outline="0" axis="axisRow" fieldPosition="0">
        <references count="1">
          <reference field="4294967294" count="1" selected="0">
            <x v="17"/>
          </reference>
        </references>
      </pivotArea>
    </format>
    <format dxfId="1540">
      <pivotArea field="0" dataOnly="0" labelOnly="1" grandRow="1" outline="0" axis="axisRow" fieldPosition="0">
        <references count="1">
          <reference field="4294967294" count="1" selected="0">
            <x v="18"/>
          </reference>
        </references>
      </pivotArea>
    </format>
    <format dxfId="1539">
      <pivotArea field="0" dataOnly="0" labelOnly="1" grandRow="1" outline="0" axis="axisRow" fieldPosition="0">
        <references count="1">
          <reference field="4294967294" count="1" selected="0">
            <x v="19"/>
          </reference>
        </references>
      </pivotArea>
    </format>
    <format dxfId="1538">
      <pivotArea field="0" dataOnly="0" labelOnly="1" grandRow="1" outline="0" axis="axisRow" fieldPosition="0">
        <references count="1">
          <reference field="4294967294" count="1" selected="0">
            <x v="20"/>
          </reference>
        </references>
      </pivotArea>
    </format>
    <format dxfId="1537">
      <pivotArea field="0" dataOnly="0" labelOnly="1" grandRow="1" outline="0" axis="axisRow" fieldPosition="0">
        <references count="1">
          <reference field="4294967294" count="1" selected="0">
            <x v="21"/>
          </reference>
        </references>
      </pivotArea>
    </format>
    <format dxfId="1536">
      <pivotArea field="0" dataOnly="0" labelOnly="1" grandRow="1" outline="0" axis="axisRow" fieldPosition="0">
        <references count="1">
          <reference field="4294967294" count="1" selected="0">
            <x v="22"/>
          </reference>
        </references>
      </pivotArea>
    </format>
    <format dxfId="1535">
      <pivotArea field="0" dataOnly="0" labelOnly="1" grandRow="1" outline="0" axis="axisRow" fieldPosition="0">
        <references count="1">
          <reference field="4294967294" count="1" selected="0">
            <x v="23"/>
          </reference>
        </references>
      </pivotArea>
    </format>
    <format dxfId="1534">
      <pivotArea field="0" dataOnly="0" labelOnly="1" grandRow="1" outline="0" axis="axisRow" fieldPosition="0">
        <references count="1">
          <reference field="4294967294" count="1" selected="0">
            <x v="24"/>
          </reference>
        </references>
      </pivotArea>
    </format>
    <format dxfId="1533">
      <pivotArea field="0" dataOnly="0" labelOnly="1" grandRow="1" outline="0" axis="axisRow" fieldPosition="0">
        <references count="1">
          <reference field="4294967294" count="1" selected="0">
            <x v="25"/>
          </reference>
        </references>
      </pivotArea>
    </format>
    <format dxfId="1532">
      <pivotArea field="0" dataOnly="0" labelOnly="1" grandRow="1" outline="0" axis="axisRow" fieldPosition="0">
        <references count="1">
          <reference field="4294967294" count="1" selected="0">
            <x v="26"/>
          </reference>
        </references>
      </pivotArea>
    </format>
    <format dxfId="1531">
      <pivotArea field="0" dataOnly="0" labelOnly="1" grandRow="1" outline="0" axis="axisRow" fieldPosition="0">
        <references count="1">
          <reference field="4294967294" count="1" selected="0">
            <x v="27"/>
          </reference>
        </references>
      </pivotArea>
    </format>
    <format dxfId="1530">
      <pivotArea field="0" dataOnly="0" labelOnly="1" grandRow="1" outline="0" axis="axisRow" fieldPosition="0">
        <references count="1">
          <reference field="4294967294" count="1" selected="0">
            <x v="28"/>
          </reference>
        </references>
      </pivotArea>
    </format>
    <format dxfId="1529">
      <pivotArea field="0" dataOnly="0" labelOnly="1" grandRow="1" outline="0" axis="axisRow" fieldPosition="0">
        <references count="1">
          <reference field="4294967294" count="1" selected="0">
            <x v="29"/>
          </reference>
        </references>
      </pivotArea>
    </format>
    <format dxfId="1528">
      <pivotArea field="0" dataOnly="0" labelOnly="1" grandRow="1" outline="0" axis="axisRow" fieldPosition="0">
        <references count="1">
          <reference field="4294967294" count="1" selected="0">
            <x v="30"/>
          </reference>
        </references>
      </pivotArea>
    </format>
    <format dxfId="1527">
      <pivotArea field="0" dataOnly="0" labelOnly="1" grandRow="1" outline="0" axis="axisRow" fieldPosition="0">
        <references count="1">
          <reference field="4294967294" count="1" selected="0">
            <x v="31"/>
          </reference>
        </references>
      </pivotArea>
    </format>
    <format dxfId="1526">
      <pivotArea field="0" dataOnly="0" labelOnly="1" grandRow="1" outline="0" axis="axisRow" fieldPosition="0">
        <references count="1">
          <reference field="4294967294" count="1" selected="0">
            <x v="32"/>
          </reference>
        </references>
      </pivotArea>
    </format>
    <format dxfId="1525">
      <pivotArea field="0" dataOnly="0" labelOnly="1" grandRow="1" outline="0" axis="axisRow" fieldPosition="0">
        <references count="1">
          <reference field="4294967294" count="1" selected="0">
            <x v="33"/>
          </reference>
        </references>
      </pivotArea>
    </format>
    <format dxfId="1524">
      <pivotArea field="0" dataOnly="0" labelOnly="1" grandRow="1" outline="0" axis="axisRow" fieldPosition="0">
        <references count="1">
          <reference field="4294967294" count="1" selected="0">
            <x v="34"/>
          </reference>
        </references>
      </pivotArea>
    </format>
    <format dxfId="1523">
      <pivotArea field="0" dataOnly="0" labelOnly="1" grandRow="1" outline="0" axis="axisRow" fieldPosition="0">
        <references count="1">
          <reference field="4294967294" count="1" selected="0">
            <x v="35"/>
          </reference>
        </references>
      </pivotArea>
    </format>
    <format dxfId="1522">
      <pivotArea field="0" dataOnly="0" labelOnly="1" grandRow="1" outline="0" axis="axisRow" fieldPosition="0">
        <references count="1">
          <reference field="4294967294" count="1" selected="0">
            <x v="0"/>
          </reference>
        </references>
      </pivotArea>
    </format>
    <format dxfId="1521">
      <pivotArea field="0" dataOnly="0" labelOnly="1" grandRow="1" outline="0" axis="axisRow" fieldPosition="0">
        <references count="1">
          <reference field="4294967294" count="1" selected="0">
            <x v="1"/>
          </reference>
        </references>
      </pivotArea>
    </format>
    <format dxfId="1520">
      <pivotArea field="0" dataOnly="0" labelOnly="1" grandRow="1" outline="0" axis="axisRow" fieldPosition="0">
        <references count="1">
          <reference field="4294967294" count="1" selected="0">
            <x v="2"/>
          </reference>
        </references>
      </pivotArea>
    </format>
    <format dxfId="1519">
      <pivotArea field="0" dataOnly="0" labelOnly="1" grandRow="1" outline="0" axis="axisRow" fieldPosition="0">
        <references count="1">
          <reference field="4294967294" count="1" selected="0">
            <x v="3"/>
          </reference>
        </references>
      </pivotArea>
    </format>
    <format dxfId="1518">
      <pivotArea field="0" dataOnly="0" labelOnly="1" grandRow="1" outline="0" axis="axisRow" fieldPosition="0">
        <references count="1">
          <reference field="4294967294" count="1" selected="0">
            <x v="4"/>
          </reference>
        </references>
      </pivotArea>
    </format>
    <format dxfId="1517">
      <pivotArea field="0" dataOnly="0" labelOnly="1" grandRow="1" outline="0" axis="axisRow" fieldPosition="0">
        <references count="1">
          <reference field="4294967294" count="1" selected="0">
            <x v="5"/>
          </reference>
        </references>
      </pivotArea>
    </format>
    <format dxfId="1516">
      <pivotArea field="0" dataOnly="0" labelOnly="1" grandRow="1" outline="0" axis="axisRow" fieldPosition="0">
        <references count="1">
          <reference field="4294967294" count="1" selected="0">
            <x v="6"/>
          </reference>
        </references>
      </pivotArea>
    </format>
    <format dxfId="1515">
      <pivotArea field="0" dataOnly="0" labelOnly="1" grandRow="1" outline="0" axis="axisRow" fieldPosition="0">
        <references count="1">
          <reference field="4294967294" count="1" selected="0">
            <x v="7"/>
          </reference>
        </references>
      </pivotArea>
    </format>
    <format dxfId="1514">
      <pivotArea field="0" dataOnly="0" labelOnly="1" grandRow="1" outline="0" axis="axisRow" fieldPosition="0">
        <references count="1">
          <reference field="4294967294" count="1" selected="0">
            <x v="8"/>
          </reference>
        </references>
      </pivotArea>
    </format>
    <format dxfId="1513">
      <pivotArea field="0" dataOnly="0" labelOnly="1" grandRow="1" outline="0" axis="axisRow" fieldPosition="0">
        <references count="1">
          <reference field="4294967294" count="1" selected="0">
            <x v="9"/>
          </reference>
        </references>
      </pivotArea>
    </format>
    <format dxfId="1512">
      <pivotArea field="0" dataOnly="0" labelOnly="1" grandRow="1" outline="0" axis="axisRow" fieldPosition="0">
        <references count="1">
          <reference field="4294967294" count="1" selected="0">
            <x v="10"/>
          </reference>
        </references>
      </pivotArea>
    </format>
    <format dxfId="1511">
      <pivotArea field="0" dataOnly="0" labelOnly="1" grandRow="1" outline="0" axis="axisRow" fieldPosition="0">
        <references count="1">
          <reference field="4294967294" count="1" selected="0">
            <x v="11"/>
          </reference>
        </references>
      </pivotArea>
    </format>
    <format dxfId="1510">
      <pivotArea field="0" dataOnly="0" labelOnly="1" grandRow="1" outline="0" axis="axisRow" fieldPosition="0">
        <references count="1">
          <reference field="4294967294" count="1" selected="0">
            <x v="12"/>
          </reference>
        </references>
      </pivotArea>
    </format>
    <format dxfId="1509">
      <pivotArea field="0" dataOnly="0" labelOnly="1" grandRow="1" outline="0" axis="axisRow" fieldPosition="0">
        <references count="1">
          <reference field="4294967294" count="1" selected="0">
            <x v="13"/>
          </reference>
        </references>
      </pivotArea>
    </format>
    <format dxfId="1508">
      <pivotArea field="0" dataOnly="0" labelOnly="1" grandRow="1" outline="0" axis="axisRow" fieldPosition="0">
        <references count="1">
          <reference field="4294967294" count="1" selected="0">
            <x v="14"/>
          </reference>
        </references>
      </pivotArea>
    </format>
    <format dxfId="1507">
      <pivotArea field="0" dataOnly="0" labelOnly="1" grandRow="1" outline="0" axis="axisRow" fieldPosition="0">
        <references count="1">
          <reference field="4294967294" count="1" selected="0">
            <x v="15"/>
          </reference>
        </references>
      </pivotArea>
    </format>
    <format dxfId="1506">
      <pivotArea field="0" dataOnly="0" labelOnly="1" grandRow="1" outline="0" axis="axisRow" fieldPosition="0">
        <references count="1">
          <reference field="4294967294" count="1" selected="0">
            <x v="16"/>
          </reference>
        </references>
      </pivotArea>
    </format>
    <format dxfId="1505">
      <pivotArea field="0" dataOnly="0" labelOnly="1" grandRow="1" outline="0" axis="axisRow" fieldPosition="0">
        <references count="1">
          <reference field="4294967294" count="1" selected="0">
            <x v="17"/>
          </reference>
        </references>
      </pivotArea>
    </format>
    <format dxfId="1504">
      <pivotArea field="0" dataOnly="0" labelOnly="1" grandRow="1" outline="0" axis="axisRow" fieldPosition="0">
        <references count="1">
          <reference field="4294967294" count="1" selected="0">
            <x v="18"/>
          </reference>
        </references>
      </pivotArea>
    </format>
    <format dxfId="1503">
      <pivotArea field="0" dataOnly="0" labelOnly="1" grandRow="1" outline="0" axis="axisRow" fieldPosition="0">
        <references count="1">
          <reference field="4294967294" count="1" selected="0">
            <x v="19"/>
          </reference>
        </references>
      </pivotArea>
    </format>
    <format dxfId="1502">
      <pivotArea field="0" dataOnly="0" labelOnly="1" grandRow="1" outline="0" axis="axisRow" fieldPosition="0">
        <references count="1">
          <reference field="4294967294" count="1" selected="0">
            <x v="20"/>
          </reference>
        </references>
      </pivotArea>
    </format>
    <format dxfId="1501">
      <pivotArea field="0" dataOnly="0" labelOnly="1" grandRow="1" outline="0" axis="axisRow" fieldPosition="0">
        <references count="1">
          <reference field="4294967294" count="1" selected="0">
            <x v="21"/>
          </reference>
        </references>
      </pivotArea>
    </format>
    <format dxfId="1500">
      <pivotArea field="0" dataOnly="0" labelOnly="1" grandRow="1" outline="0" axis="axisRow" fieldPosition="0">
        <references count="1">
          <reference field="4294967294" count="1" selected="0">
            <x v="22"/>
          </reference>
        </references>
      </pivotArea>
    </format>
    <format dxfId="1499">
      <pivotArea field="0" dataOnly="0" labelOnly="1" grandRow="1" outline="0" axis="axisRow" fieldPosition="0">
        <references count="1">
          <reference field="4294967294" count="1" selected="0">
            <x v="23"/>
          </reference>
        </references>
      </pivotArea>
    </format>
    <format dxfId="1498">
      <pivotArea field="0" dataOnly="0" labelOnly="1" grandRow="1" outline="0" axis="axisRow" fieldPosition="0">
        <references count="1">
          <reference field="4294967294" count="1" selected="0">
            <x v="24"/>
          </reference>
        </references>
      </pivotArea>
    </format>
    <format dxfId="1497">
      <pivotArea field="0" dataOnly="0" labelOnly="1" grandRow="1" outline="0" axis="axisRow" fieldPosition="0">
        <references count="1">
          <reference field="4294967294" count="1" selected="0">
            <x v="25"/>
          </reference>
        </references>
      </pivotArea>
    </format>
    <format dxfId="1496">
      <pivotArea field="0" dataOnly="0" labelOnly="1" grandRow="1" outline="0" axis="axisRow" fieldPosition="0">
        <references count="1">
          <reference field="4294967294" count="1" selected="0">
            <x v="26"/>
          </reference>
        </references>
      </pivotArea>
    </format>
    <format dxfId="1495">
      <pivotArea field="0" dataOnly="0" labelOnly="1" grandRow="1" outline="0" axis="axisRow" fieldPosition="0">
        <references count="1">
          <reference field="4294967294" count="1" selected="0">
            <x v="27"/>
          </reference>
        </references>
      </pivotArea>
    </format>
    <format dxfId="1494">
      <pivotArea field="0" dataOnly="0" labelOnly="1" grandRow="1" outline="0" axis="axisRow" fieldPosition="0">
        <references count="1">
          <reference field="4294967294" count="1" selected="0">
            <x v="28"/>
          </reference>
        </references>
      </pivotArea>
    </format>
    <format dxfId="1493">
      <pivotArea field="0" dataOnly="0" labelOnly="1" grandRow="1" outline="0" axis="axisRow" fieldPosition="0">
        <references count="1">
          <reference field="4294967294" count="1" selected="0">
            <x v="29"/>
          </reference>
        </references>
      </pivotArea>
    </format>
    <format dxfId="1492">
      <pivotArea field="0" dataOnly="0" labelOnly="1" grandRow="1" outline="0" axis="axisRow" fieldPosition="0">
        <references count="1">
          <reference field="4294967294" count="1" selected="0">
            <x v="30"/>
          </reference>
        </references>
      </pivotArea>
    </format>
    <format dxfId="1491">
      <pivotArea field="0" dataOnly="0" labelOnly="1" grandRow="1" outline="0" axis="axisRow" fieldPosition="0">
        <references count="1">
          <reference field="4294967294" count="1" selected="0">
            <x v="31"/>
          </reference>
        </references>
      </pivotArea>
    </format>
    <format dxfId="1490">
      <pivotArea field="0" dataOnly="0" labelOnly="1" grandRow="1" outline="0" axis="axisRow" fieldPosition="0">
        <references count="1">
          <reference field="4294967294" count="1" selected="0">
            <x v="32"/>
          </reference>
        </references>
      </pivotArea>
    </format>
    <format dxfId="1489">
      <pivotArea field="0" dataOnly="0" labelOnly="1" grandRow="1" outline="0" axis="axisRow" fieldPosition="0">
        <references count="1">
          <reference field="4294967294" count="1" selected="0">
            <x v="33"/>
          </reference>
        </references>
      </pivotArea>
    </format>
    <format dxfId="1488">
      <pivotArea field="0" dataOnly="0" labelOnly="1" grandRow="1" outline="0" axis="axisRow" fieldPosition="0">
        <references count="1">
          <reference field="4294967294" count="1" selected="0">
            <x v="34"/>
          </reference>
        </references>
      </pivotArea>
    </format>
    <format dxfId="1487">
      <pivotArea field="0" dataOnly="0" labelOnly="1" grandRow="1" outline="0" axis="axisRow" fieldPosition="0">
        <references count="1">
          <reference field="4294967294" count="1" selected="0">
            <x v="35"/>
          </reference>
        </references>
      </pivotArea>
    </format>
    <format dxfId="1486">
      <pivotArea field="0" dataOnly="0" labelOnly="1" grandRow="1" outline="0" axis="axisRow" fieldPosition="0">
        <references count="1">
          <reference field="4294967294" count="1" selected="0">
            <x v="0"/>
          </reference>
        </references>
      </pivotArea>
    </format>
    <format dxfId="1485">
      <pivotArea field="0" dataOnly="0" labelOnly="1" grandRow="1" outline="0" axis="axisRow" fieldPosition="0">
        <references count="1">
          <reference field="4294967294" count="1" selected="0">
            <x v="1"/>
          </reference>
        </references>
      </pivotArea>
    </format>
    <format dxfId="1484">
      <pivotArea field="0" dataOnly="0" labelOnly="1" grandRow="1" outline="0" axis="axisRow" fieldPosition="0">
        <references count="1">
          <reference field="4294967294" count="1" selected="0">
            <x v="2"/>
          </reference>
        </references>
      </pivotArea>
    </format>
    <format dxfId="1483">
      <pivotArea field="0" dataOnly="0" labelOnly="1" grandRow="1" outline="0" axis="axisRow" fieldPosition="0">
        <references count="1">
          <reference field="4294967294" count="1" selected="0">
            <x v="3"/>
          </reference>
        </references>
      </pivotArea>
    </format>
    <format dxfId="1482">
      <pivotArea field="0" dataOnly="0" labelOnly="1" grandRow="1" outline="0" axis="axisRow" fieldPosition="0">
        <references count="1">
          <reference field="4294967294" count="1" selected="0">
            <x v="4"/>
          </reference>
        </references>
      </pivotArea>
    </format>
    <format dxfId="1481">
      <pivotArea field="0" dataOnly="0" labelOnly="1" grandRow="1" outline="0" axis="axisRow" fieldPosition="0">
        <references count="1">
          <reference field="4294967294" count="1" selected="0">
            <x v="5"/>
          </reference>
        </references>
      </pivotArea>
    </format>
    <format dxfId="1480">
      <pivotArea field="0" dataOnly="0" labelOnly="1" grandRow="1" outline="0" axis="axisRow" fieldPosition="0">
        <references count="1">
          <reference field="4294967294" count="1" selected="0">
            <x v="6"/>
          </reference>
        </references>
      </pivotArea>
    </format>
    <format dxfId="1479">
      <pivotArea field="0" dataOnly="0" labelOnly="1" grandRow="1" outline="0" axis="axisRow" fieldPosition="0">
        <references count="1">
          <reference field="4294967294" count="1" selected="0">
            <x v="7"/>
          </reference>
        </references>
      </pivotArea>
    </format>
    <format dxfId="1478">
      <pivotArea field="0" dataOnly="0" labelOnly="1" grandRow="1" outline="0" axis="axisRow" fieldPosition="0">
        <references count="1">
          <reference field="4294967294" count="1" selected="0">
            <x v="8"/>
          </reference>
        </references>
      </pivotArea>
    </format>
    <format dxfId="1477">
      <pivotArea field="0" dataOnly="0" labelOnly="1" grandRow="1" outline="0" axis="axisRow" fieldPosition="0">
        <references count="1">
          <reference field="4294967294" count="1" selected="0">
            <x v="9"/>
          </reference>
        </references>
      </pivotArea>
    </format>
    <format dxfId="1476">
      <pivotArea field="0" dataOnly="0" labelOnly="1" grandRow="1" outline="0" axis="axisRow" fieldPosition="0">
        <references count="1">
          <reference field="4294967294" count="1" selected="0">
            <x v="10"/>
          </reference>
        </references>
      </pivotArea>
    </format>
    <format dxfId="1475">
      <pivotArea field="0" dataOnly="0" labelOnly="1" grandRow="1" outline="0" axis="axisRow" fieldPosition="0">
        <references count="1">
          <reference field="4294967294" count="1" selected="0">
            <x v="11"/>
          </reference>
        </references>
      </pivotArea>
    </format>
    <format dxfId="1474">
      <pivotArea field="0" dataOnly="0" labelOnly="1" grandRow="1" outline="0" axis="axisRow" fieldPosition="0">
        <references count="1">
          <reference field="4294967294" count="1" selected="0">
            <x v="12"/>
          </reference>
        </references>
      </pivotArea>
    </format>
    <format dxfId="1473">
      <pivotArea field="0" dataOnly="0" labelOnly="1" grandRow="1" outline="0" axis="axisRow" fieldPosition="0">
        <references count="1">
          <reference field="4294967294" count="1" selected="0">
            <x v="13"/>
          </reference>
        </references>
      </pivotArea>
    </format>
    <format dxfId="1472">
      <pivotArea field="0" dataOnly="0" labelOnly="1" grandRow="1" outline="0" axis="axisRow" fieldPosition="0">
        <references count="1">
          <reference field="4294967294" count="1" selected="0">
            <x v="14"/>
          </reference>
        </references>
      </pivotArea>
    </format>
    <format dxfId="1471">
      <pivotArea field="0" dataOnly="0" labelOnly="1" grandRow="1" outline="0" axis="axisRow" fieldPosition="0">
        <references count="1">
          <reference field="4294967294" count="1" selected="0">
            <x v="15"/>
          </reference>
        </references>
      </pivotArea>
    </format>
    <format dxfId="1470">
      <pivotArea field="0" dataOnly="0" labelOnly="1" grandRow="1" outline="0" axis="axisRow" fieldPosition="0">
        <references count="1">
          <reference field="4294967294" count="1" selected="0">
            <x v="16"/>
          </reference>
        </references>
      </pivotArea>
    </format>
    <format dxfId="1469">
      <pivotArea field="0" dataOnly="0" labelOnly="1" grandRow="1" outline="0" axis="axisRow" fieldPosition="0">
        <references count="1">
          <reference field="4294967294" count="1" selected="0">
            <x v="17"/>
          </reference>
        </references>
      </pivotArea>
    </format>
    <format dxfId="1468">
      <pivotArea field="0" dataOnly="0" labelOnly="1" grandRow="1" outline="0" axis="axisRow" fieldPosition="0">
        <references count="1">
          <reference field="4294967294" count="1" selected="0">
            <x v="18"/>
          </reference>
        </references>
      </pivotArea>
    </format>
    <format dxfId="1467">
      <pivotArea field="0" dataOnly="0" labelOnly="1" grandRow="1" outline="0" axis="axisRow" fieldPosition="0">
        <references count="1">
          <reference field="4294967294" count="1" selected="0">
            <x v="19"/>
          </reference>
        </references>
      </pivotArea>
    </format>
    <format dxfId="1466">
      <pivotArea field="0" dataOnly="0" labelOnly="1" grandRow="1" outline="0" axis="axisRow" fieldPosition="0">
        <references count="1">
          <reference field="4294967294" count="1" selected="0">
            <x v="20"/>
          </reference>
        </references>
      </pivotArea>
    </format>
    <format dxfId="1465">
      <pivotArea field="0" dataOnly="0" labelOnly="1" grandRow="1" outline="0" axis="axisRow" fieldPosition="0">
        <references count="1">
          <reference field="4294967294" count="1" selected="0">
            <x v="21"/>
          </reference>
        </references>
      </pivotArea>
    </format>
    <format dxfId="1464">
      <pivotArea field="0" dataOnly="0" labelOnly="1" grandRow="1" outline="0" axis="axisRow" fieldPosition="0">
        <references count="1">
          <reference field="4294967294" count="1" selected="0">
            <x v="22"/>
          </reference>
        </references>
      </pivotArea>
    </format>
    <format dxfId="1463">
      <pivotArea field="0" dataOnly="0" labelOnly="1" grandRow="1" outline="0" axis="axisRow" fieldPosition="0">
        <references count="1">
          <reference field="4294967294" count="1" selected="0">
            <x v="23"/>
          </reference>
        </references>
      </pivotArea>
    </format>
    <format dxfId="1462">
      <pivotArea field="0" dataOnly="0" labelOnly="1" grandRow="1" outline="0" axis="axisRow" fieldPosition="0">
        <references count="1">
          <reference field="4294967294" count="1" selected="0">
            <x v="24"/>
          </reference>
        </references>
      </pivotArea>
    </format>
    <format dxfId="1461">
      <pivotArea field="0" dataOnly="0" labelOnly="1" grandRow="1" outline="0" axis="axisRow" fieldPosition="0">
        <references count="1">
          <reference field="4294967294" count="1" selected="0">
            <x v="25"/>
          </reference>
        </references>
      </pivotArea>
    </format>
    <format dxfId="1460">
      <pivotArea field="0" dataOnly="0" labelOnly="1" grandRow="1" outline="0" axis="axisRow" fieldPosition="0">
        <references count="1">
          <reference field="4294967294" count="1" selected="0">
            <x v="26"/>
          </reference>
        </references>
      </pivotArea>
    </format>
    <format dxfId="1459">
      <pivotArea field="0" dataOnly="0" labelOnly="1" grandRow="1" outline="0" axis="axisRow" fieldPosition="0">
        <references count="1">
          <reference field="4294967294" count="1" selected="0">
            <x v="27"/>
          </reference>
        </references>
      </pivotArea>
    </format>
    <format dxfId="1458">
      <pivotArea field="0" dataOnly="0" labelOnly="1" grandRow="1" outline="0" axis="axisRow" fieldPosition="0">
        <references count="1">
          <reference field="4294967294" count="1" selected="0">
            <x v="28"/>
          </reference>
        </references>
      </pivotArea>
    </format>
    <format dxfId="1457">
      <pivotArea field="0" dataOnly="0" labelOnly="1" grandRow="1" outline="0" axis="axisRow" fieldPosition="0">
        <references count="1">
          <reference field="4294967294" count="1" selected="0">
            <x v="29"/>
          </reference>
        </references>
      </pivotArea>
    </format>
    <format dxfId="1456">
      <pivotArea field="0" dataOnly="0" labelOnly="1" grandRow="1" outline="0" axis="axisRow" fieldPosition="0">
        <references count="1">
          <reference field="4294967294" count="1" selected="0">
            <x v="30"/>
          </reference>
        </references>
      </pivotArea>
    </format>
    <format dxfId="1455">
      <pivotArea field="0" dataOnly="0" labelOnly="1" grandRow="1" outline="0" axis="axisRow" fieldPosition="0">
        <references count="1">
          <reference field="4294967294" count="1" selected="0">
            <x v="31"/>
          </reference>
        </references>
      </pivotArea>
    </format>
    <format dxfId="1454">
      <pivotArea field="0" dataOnly="0" labelOnly="1" grandRow="1" outline="0" axis="axisRow" fieldPosition="0">
        <references count="1">
          <reference field="4294967294" count="1" selected="0">
            <x v="32"/>
          </reference>
        </references>
      </pivotArea>
    </format>
    <format dxfId="1453">
      <pivotArea field="0" dataOnly="0" labelOnly="1" grandRow="1" outline="0" axis="axisRow" fieldPosition="0">
        <references count="1">
          <reference field="4294967294" count="1" selected="0">
            <x v="33"/>
          </reference>
        </references>
      </pivotArea>
    </format>
    <format dxfId="1452">
      <pivotArea field="0" dataOnly="0" labelOnly="1" grandRow="1" outline="0" axis="axisRow" fieldPosition="0">
        <references count="1">
          <reference field="4294967294" count="1" selected="0">
            <x v="34"/>
          </reference>
        </references>
      </pivotArea>
    </format>
    <format dxfId="1451">
      <pivotArea field="0" dataOnly="0" labelOnly="1" grandRow="1" outline="0" axis="axisRow" fieldPosition="0">
        <references count="1">
          <reference field="4294967294" count="1" selected="0">
            <x v="35"/>
          </reference>
        </references>
      </pivotArea>
    </format>
    <format dxfId="1450">
      <pivotArea field="0" dataOnly="0" labelOnly="1" grandRow="1" outline="0" axis="axisRow" fieldPosition="0">
        <references count="1">
          <reference field="4294967294" count="1" selected="0">
            <x v="0"/>
          </reference>
        </references>
      </pivotArea>
    </format>
    <format dxfId="1449">
      <pivotArea field="0" dataOnly="0" labelOnly="1" grandRow="1" outline="0" axis="axisRow" fieldPosition="0">
        <references count="1">
          <reference field="4294967294" count="1" selected="0">
            <x v="1"/>
          </reference>
        </references>
      </pivotArea>
    </format>
    <format dxfId="1448">
      <pivotArea field="0" dataOnly="0" labelOnly="1" grandRow="1" outline="0" axis="axisRow" fieldPosition="0">
        <references count="1">
          <reference field="4294967294" count="1" selected="0">
            <x v="2"/>
          </reference>
        </references>
      </pivotArea>
    </format>
    <format dxfId="1447">
      <pivotArea field="0" dataOnly="0" labelOnly="1" grandRow="1" outline="0" axis="axisRow" fieldPosition="0">
        <references count="1">
          <reference field="4294967294" count="1" selected="0">
            <x v="3"/>
          </reference>
        </references>
      </pivotArea>
    </format>
    <format dxfId="1446">
      <pivotArea field="0" dataOnly="0" labelOnly="1" grandRow="1" outline="0" axis="axisRow" fieldPosition="0">
        <references count="1">
          <reference field="4294967294" count="1" selected="0">
            <x v="4"/>
          </reference>
        </references>
      </pivotArea>
    </format>
    <format dxfId="1445">
      <pivotArea field="0" dataOnly="0" labelOnly="1" grandRow="1" outline="0" axis="axisRow" fieldPosition="0">
        <references count="1">
          <reference field="4294967294" count="1" selected="0">
            <x v="5"/>
          </reference>
        </references>
      </pivotArea>
    </format>
    <format dxfId="1444">
      <pivotArea field="0" dataOnly="0" labelOnly="1" grandRow="1" outline="0" axis="axisRow" fieldPosition="0">
        <references count="1">
          <reference field="4294967294" count="1" selected="0">
            <x v="6"/>
          </reference>
        </references>
      </pivotArea>
    </format>
    <format dxfId="1443">
      <pivotArea field="0" dataOnly="0" labelOnly="1" grandRow="1" outline="0" axis="axisRow" fieldPosition="0">
        <references count="1">
          <reference field="4294967294" count="1" selected="0">
            <x v="7"/>
          </reference>
        </references>
      </pivotArea>
    </format>
    <format dxfId="1442">
      <pivotArea field="0" dataOnly="0" labelOnly="1" grandRow="1" outline="0" axis="axisRow" fieldPosition="0">
        <references count="1">
          <reference field="4294967294" count="1" selected="0">
            <x v="8"/>
          </reference>
        </references>
      </pivotArea>
    </format>
    <format dxfId="1441">
      <pivotArea field="0" dataOnly="0" labelOnly="1" grandRow="1" outline="0" axis="axisRow" fieldPosition="0">
        <references count="1">
          <reference field="4294967294" count="1" selected="0">
            <x v="9"/>
          </reference>
        </references>
      </pivotArea>
    </format>
    <format dxfId="1440">
      <pivotArea field="0" dataOnly="0" labelOnly="1" grandRow="1" outline="0" axis="axisRow" fieldPosition="0">
        <references count="1">
          <reference field="4294967294" count="1" selected="0">
            <x v="10"/>
          </reference>
        </references>
      </pivotArea>
    </format>
    <format dxfId="1439">
      <pivotArea field="0" dataOnly="0" labelOnly="1" grandRow="1" outline="0" axis="axisRow" fieldPosition="0">
        <references count="1">
          <reference field="4294967294" count="1" selected="0">
            <x v="11"/>
          </reference>
        </references>
      </pivotArea>
    </format>
    <format dxfId="1438">
      <pivotArea field="0" dataOnly="0" labelOnly="1" grandRow="1" outline="0" axis="axisRow" fieldPosition="0">
        <references count="1">
          <reference field="4294967294" count="1" selected="0">
            <x v="12"/>
          </reference>
        </references>
      </pivotArea>
    </format>
    <format dxfId="1437">
      <pivotArea field="0" dataOnly="0" labelOnly="1" grandRow="1" outline="0" axis="axisRow" fieldPosition="0">
        <references count="1">
          <reference field="4294967294" count="1" selected="0">
            <x v="13"/>
          </reference>
        </references>
      </pivotArea>
    </format>
    <format dxfId="1436">
      <pivotArea field="0" dataOnly="0" labelOnly="1" grandRow="1" outline="0" axis="axisRow" fieldPosition="0">
        <references count="1">
          <reference field="4294967294" count="1" selected="0">
            <x v="14"/>
          </reference>
        </references>
      </pivotArea>
    </format>
    <format dxfId="1435">
      <pivotArea field="0" dataOnly="0" labelOnly="1" grandRow="1" outline="0" axis="axisRow" fieldPosition="0">
        <references count="1">
          <reference field="4294967294" count="1" selected="0">
            <x v="15"/>
          </reference>
        </references>
      </pivotArea>
    </format>
    <format dxfId="1434">
      <pivotArea field="0" dataOnly="0" labelOnly="1" grandRow="1" outline="0" axis="axisRow" fieldPosition="0">
        <references count="1">
          <reference field="4294967294" count="1" selected="0">
            <x v="16"/>
          </reference>
        </references>
      </pivotArea>
    </format>
    <format dxfId="1433">
      <pivotArea field="0" dataOnly="0" labelOnly="1" grandRow="1" outline="0" axis="axisRow" fieldPosition="0">
        <references count="1">
          <reference field="4294967294" count="1" selected="0">
            <x v="17"/>
          </reference>
        </references>
      </pivotArea>
    </format>
    <format dxfId="1432">
      <pivotArea field="0" dataOnly="0" labelOnly="1" grandRow="1" outline="0" axis="axisRow" fieldPosition="0">
        <references count="1">
          <reference field="4294967294" count="1" selected="0">
            <x v="18"/>
          </reference>
        </references>
      </pivotArea>
    </format>
    <format dxfId="1431">
      <pivotArea field="0" dataOnly="0" labelOnly="1" grandRow="1" outline="0" axis="axisRow" fieldPosition="0">
        <references count="1">
          <reference field="4294967294" count="1" selected="0">
            <x v="19"/>
          </reference>
        </references>
      </pivotArea>
    </format>
    <format dxfId="1430">
      <pivotArea field="0" dataOnly="0" labelOnly="1" grandRow="1" outline="0" axis="axisRow" fieldPosition="0">
        <references count="1">
          <reference field="4294967294" count="1" selected="0">
            <x v="20"/>
          </reference>
        </references>
      </pivotArea>
    </format>
    <format dxfId="1429">
      <pivotArea field="0" dataOnly="0" labelOnly="1" grandRow="1" outline="0" axis="axisRow" fieldPosition="0">
        <references count="1">
          <reference field="4294967294" count="1" selected="0">
            <x v="21"/>
          </reference>
        </references>
      </pivotArea>
    </format>
    <format dxfId="1428">
      <pivotArea field="0" dataOnly="0" labelOnly="1" grandRow="1" outline="0" axis="axisRow" fieldPosition="0">
        <references count="1">
          <reference field="4294967294" count="1" selected="0">
            <x v="22"/>
          </reference>
        </references>
      </pivotArea>
    </format>
    <format dxfId="1427">
      <pivotArea field="0" dataOnly="0" labelOnly="1" grandRow="1" outline="0" axis="axisRow" fieldPosition="0">
        <references count="1">
          <reference field="4294967294" count="1" selected="0">
            <x v="23"/>
          </reference>
        </references>
      </pivotArea>
    </format>
    <format dxfId="1426">
      <pivotArea field="0" dataOnly="0" labelOnly="1" grandRow="1" outline="0" axis="axisRow" fieldPosition="0">
        <references count="1">
          <reference field="4294967294" count="1" selected="0">
            <x v="24"/>
          </reference>
        </references>
      </pivotArea>
    </format>
    <format dxfId="1425">
      <pivotArea field="0" dataOnly="0" labelOnly="1" grandRow="1" outline="0" axis="axisRow" fieldPosition="0">
        <references count="1">
          <reference field="4294967294" count="1" selected="0">
            <x v="25"/>
          </reference>
        </references>
      </pivotArea>
    </format>
    <format dxfId="1424">
      <pivotArea field="0" dataOnly="0" labelOnly="1" grandRow="1" outline="0" axis="axisRow" fieldPosition="0">
        <references count="1">
          <reference field="4294967294" count="1" selected="0">
            <x v="26"/>
          </reference>
        </references>
      </pivotArea>
    </format>
    <format dxfId="1423">
      <pivotArea field="0" dataOnly="0" labelOnly="1" grandRow="1" outline="0" axis="axisRow" fieldPosition="0">
        <references count="1">
          <reference field="4294967294" count="1" selected="0">
            <x v="27"/>
          </reference>
        </references>
      </pivotArea>
    </format>
    <format dxfId="1422">
      <pivotArea field="0" dataOnly="0" labelOnly="1" grandRow="1" outline="0" axis="axisRow" fieldPosition="0">
        <references count="1">
          <reference field="4294967294" count="1" selected="0">
            <x v="28"/>
          </reference>
        </references>
      </pivotArea>
    </format>
    <format dxfId="1421">
      <pivotArea field="0" dataOnly="0" labelOnly="1" grandRow="1" outline="0" axis="axisRow" fieldPosition="0">
        <references count="1">
          <reference field="4294967294" count="1" selected="0">
            <x v="29"/>
          </reference>
        </references>
      </pivotArea>
    </format>
    <format dxfId="1420">
      <pivotArea field="0" dataOnly="0" labelOnly="1" grandRow="1" outline="0" axis="axisRow" fieldPosition="0">
        <references count="1">
          <reference field="4294967294" count="1" selected="0">
            <x v="30"/>
          </reference>
        </references>
      </pivotArea>
    </format>
    <format dxfId="1419">
      <pivotArea field="0" dataOnly="0" labelOnly="1" grandRow="1" outline="0" axis="axisRow" fieldPosition="0">
        <references count="1">
          <reference field="4294967294" count="1" selected="0">
            <x v="31"/>
          </reference>
        </references>
      </pivotArea>
    </format>
    <format dxfId="1418">
      <pivotArea field="0" dataOnly="0" labelOnly="1" grandRow="1" outline="0" axis="axisRow" fieldPosition="0">
        <references count="1">
          <reference field="4294967294" count="1" selected="0">
            <x v="32"/>
          </reference>
        </references>
      </pivotArea>
    </format>
    <format dxfId="1417">
      <pivotArea field="0" dataOnly="0" labelOnly="1" grandRow="1" outline="0" axis="axisRow" fieldPosition="0">
        <references count="1">
          <reference field="4294967294" count="1" selected="0">
            <x v="33"/>
          </reference>
        </references>
      </pivotArea>
    </format>
    <format dxfId="1416">
      <pivotArea field="0" dataOnly="0" labelOnly="1" grandRow="1" outline="0" axis="axisRow" fieldPosition="0">
        <references count="1">
          <reference field="4294967294" count="1" selected="0">
            <x v="34"/>
          </reference>
        </references>
      </pivotArea>
    </format>
    <format dxfId="1415">
      <pivotArea field="0" dataOnly="0" labelOnly="1" grandRow="1" outline="0" axis="axisRow" fieldPosition="0">
        <references count="1">
          <reference field="4294967294" count="1" selected="0">
            <x v="35"/>
          </reference>
        </references>
      </pivotArea>
    </format>
    <format dxfId="1414">
      <pivotArea field="0" dataOnly="0" labelOnly="1" grandRow="1" outline="0" axis="axisRow" fieldPosition="0">
        <references count="1">
          <reference field="4294967294" count="1" selected="0">
            <x v="0"/>
          </reference>
        </references>
      </pivotArea>
    </format>
    <format dxfId="1413">
      <pivotArea field="0" dataOnly="0" labelOnly="1" grandRow="1" outline="0" axis="axisRow" fieldPosition="0">
        <references count="1">
          <reference field="4294967294" count="1" selected="0">
            <x v="1"/>
          </reference>
        </references>
      </pivotArea>
    </format>
    <format dxfId="1412">
      <pivotArea field="0" dataOnly="0" labelOnly="1" grandRow="1" outline="0" axis="axisRow" fieldPosition="0">
        <references count="1">
          <reference field="4294967294" count="1" selected="0">
            <x v="2"/>
          </reference>
        </references>
      </pivotArea>
    </format>
    <format dxfId="1411">
      <pivotArea field="0" dataOnly="0" labelOnly="1" grandRow="1" outline="0" axis="axisRow" fieldPosition="0">
        <references count="1">
          <reference field="4294967294" count="1" selected="0">
            <x v="3"/>
          </reference>
        </references>
      </pivotArea>
    </format>
    <format dxfId="1410">
      <pivotArea field="0" dataOnly="0" labelOnly="1" grandRow="1" outline="0" axis="axisRow" fieldPosition="0">
        <references count="1">
          <reference field="4294967294" count="1" selected="0">
            <x v="4"/>
          </reference>
        </references>
      </pivotArea>
    </format>
    <format dxfId="1409">
      <pivotArea field="0" dataOnly="0" labelOnly="1" grandRow="1" outline="0" axis="axisRow" fieldPosition="0">
        <references count="1">
          <reference field="4294967294" count="1" selected="0">
            <x v="5"/>
          </reference>
        </references>
      </pivotArea>
    </format>
    <format dxfId="1408">
      <pivotArea field="0" dataOnly="0" labelOnly="1" grandRow="1" outline="0" axis="axisRow" fieldPosition="0">
        <references count="1">
          <reference field="4294967294" count="1" selected="0">
            <x v="6"/>
          </reference>
        </references>
      </pivotArea>
    </format>
    <format dxfId="1407">
      <pivotArea field="0" dataOnly="0" labelOnly="1" grandRow="1" outline="0" axis="axisRow" fieldPosition="0">
        <references count="1">
          <reference field="4294967294" count="1" selected="0">
            <x v="7"/>
          </reference>
        </references>
      </pivotArea>
    </format>
    <format dxfId="1406">
      <pivotArea field="0" dataOnly="0" labelOnly="1" grandRow="1" outline="0" axis="axisRow" fieldPosition="0">
        <references count="1">
          <reference field="4294967294" count="1" selected="0">
            <x v="8"/>
          </reference>
        </references>
      </pivotArea>
    </format>
    <format dxfId="1405">
      <pivotArea field="0" dataOnly="0" labelOnly="1" grandRow="1" outline="0" axis="axisRow" fieldPosition="0">
        <references count="1">
          <reference field="4294967294" count="1" selected="0">
            <x v="9"/>
          </reference>
        </references>
      </pivotArea>
    </format>
    <format dxfId="1404">
      <pivotArea field="0" dataOnly="0" labelOnly="1" grandRow="1" outline="0" axis="axisRow" fieldPosition="0">
        <references count="1">
          <reference field="4294967294" count="1" selected="0">
            <x v="10"/>
          </reference>
        </references>
      </pivotArea>
    </format>
    <format dxfId="1403">
      <pivotArea field="0" dataOnly="0" labelOnly="1" grandRow="1" outline="0" axis="axisRow" fieldPosition="0">
        <references count="1">
          <reference field="4294967294" count="1" selected="0">
            <x v="11"/>
          </reference>
        </references>
      </pivotArea>
    </format>
    <format dxfId="1402">
      <pivotArea field="0" dataOnly="0" labelOnly="1" grandRow="1" outline="0" axis="axisRow" fieldPosition="0">
        <references count="1">
          <reference field="4294967294" count="1" selected="0">
            <x v="12"/>
          </reference>
        </references>
      </pivotArea>
    </format>
    <format dxfId="1401">
      <pivotArea field="0" dataOnly="0" labelOnly="1" grandRow="1" outline="0" axis="axisRow" fieldPosition="0">
        <references count="1">
          <reference field="4294967294" count="1" selected="0">
            <x v="13"/>
          </reference>
        </references>
      </pivotArea>
    </format>
    <format dxfId="1400">
      <pivotArea field="0" dataOnly="0" labelOnly="1" grandRow="1" outline="0" axis="axisRow" fieldPosition="0">
        <references count="1">
          <reference field="4294967294" count="1" selected="0">
            <x v="14"/>
          </reference>
        </references>
      </pivotArea>
    </format>
    <format dxfId="1399">
      <pivotArea field="0" dataOnly="0" labelOnly="1" grandRow="1" outline="0" axis="axisRow" fieldPosition="0">
        <references count="1">
          <reference field="4294967294" count="1" selected="0">
            <x v="15"/>
          </reference>
        </references>
      </pivotArea>
    </format>
    <format dxfId="1398">
      <pivotArea field="0" dataOnly="0" labelOnly="1" grandRow="1" outline="0" axis="axisRow" fieldPosition="0">
        <references count="1">
          <reference field="4294967294" count="1" selected="0">
            <x v="16"/>
          </reference>
        </references>
      </pivotArea>
    </format>
    <format dxfId="1397">
      <pivotArea field="0" dataOnly="0" labelOnly="1" grandRow="1" outline="0" axis="axisRow" fieldPosition="0">
        <references count="1">
          <reference field="4294967294" count="1" selected="0">
            <x v="17"/>
          </reference>
        </references>
      </pivotArea>
    </format>
    <format dxfId="1396">
      <pivotArea field="0" dataOnly="0" labelOnly="1" grandRow="1" outline="0" axis="axisRow" fieldPosition="0">
        <references count="1">
          <reference field="4294967294" count="1" selected="0">
            <x v="18"/>
          </reference>
        </references>
      </pivotArea>
    </format>
    <format dxfId="1395">
      <pivotArea field="0" dataOnly="0" labelOnly="1" grandRow="1" outline="0" axis="axisRow" fieldPosition="0">
        <references count="1">
          <reference field="4294967294" count="1" selected="0">
            <x v="19"/>
          </reference>
        </references>
      </pivotArea>
    </format>
    <format dxfId="1394">
      <pivotArea field="0" dataOnly="0" labelOnly="1" grandRow="1" outline="0" axis="axisRow" fieldPosition="0">
        <references count="1">
          <reference field="4294967294" count="1" selected="0">
            <x v="20"/>
          </reference>
        </references>
      </pivotArea>
    </format>
    <format dxfId="1393">
      <pivotArea field="0" dataOnly="0" labelOnly="1" grandRow="1" outline="0" axis="axisRow" fieldPosition="0">
        <references count="1">
          <reference field="4294967294" count="1" selected="0">
            <x v="21"/>
          </reference>
        </references>
      </pivotArea>
    </format>
    <format dxfId="1392">
      <pivotArea field="0" dataOnly="0" labelOnly="1" grandRow="1" outline="0" axis="axisRow" fieldPosition="0">
        <references count="1">
          <reference field="4294967294" count="1" selected="0">
            <x v="22"/>
          </reference>
        </references>
      </pivotArea>
    </format>
    <format dxfId="1391">
      <pivotArea field="0" dataOnly="0" labelOnly="1" grandRow="1" outline="0" axis="axisRow" fieldPosition="0">
        <references count="1">
          <reference field="4294967294" count="1" selected="0">
            <x v="23"/>
          </reference>
        </references>
      </pivotArea>
    </format>
    <format dxfId="1390">
      <pivotArea field="0" dataOnly="0" labelOnly="1" grandRow="1" outline="0" axis="axisRow" fieldPosition="0">
        <references count="1">
          <reference field="4294967294" count="1" selected="0">
            <x v="24"/>
          </reference>
        </references>
      </pivotArea>
    </format>
    <format dxfId="1389">
      <pivotArea field="0" dataOnly="0" labelOnly="1" grandRow="1" outline="0" axis="axisRow" fieldPosition="0">
        <references count="1">
          <reference field="4294967294" count="1" selected="0">
            <x v="25"/>
          </reference>
        </references>
      </pivotArea>
    </format>
    <format dxfId="1388">
      <pivotArea field="0" dataOnly="0" labelOnly="1" grandRow="1" outline="0" axis="axisRow" fieldPosition="0">
        <references count="1">
          <reference field="4294967294" count="1" selected="0">
            <x v="26"/>
          </reference>
        </references>
      </pivotArea>
    </format>
    <format dxfId="1387">
      <pivotArea field="0" dataOnly="0" labelOnly="1" grandRow="1" outline="0" axis="axisRow" fieldPosition="0">
        <references count="1">
          <reference field="4294967294" count="1" selected="0">
            <x v="27"/>
          </reference>
        </references>
      </pivotArea>
    </format>
    <format dxfId="1386">
      <pivotArea field="0" dataOnly="0" labelOnly="1" grandRow="1" outline="0" axis="axisRow" fieldPosition="0">
        <references count="1">
          <reference field="4294967294" count="1" selected="0">
            <x v="28"/>
          </reference>
        </references>
      </pivotArea>
    </format>
    <format dxfId="1385">
      <pivotArea field="0" dataOnly="0" labelOnly="1" grandRow="1" outline="0" axis="axisRow" fieldPosition="0">
        <references count="1">
          <reference field="4294967294" count="1" selected="0">
            <x v="29"/>
          </reference>
        </references>
      </pivotArea>
    </format>
    <format dxfId="1384">
      <pivotArea field="0" dataOnly="0" labelOnly="1" grandRow="1" outline="0" axis="axisRow" fieldPosition="0">
        <references count="1">
          <reference field="4294967294" count="1" selected="0">
            <x v="30"/>
          </reference>
        </references>
      </pivotArea>
    </format>
    <format dxfId="1383">
      <pivotArea field="0" dataOnly="0" labelOnly="1" grandRow="1" outline="0" axis="axisRow" fieldPosition="0">
        <references count="1">
          <reference field="4294967294" count="1" selected="0">
            <x v="31"/>
          </reference>
        </references>
      </pivotArea>
    </format>
    <format dxfId="1382">
      <pivotArea field="0" dataOnly="0" labelOnly="1" grandRow="1" outline="0" axis="axisRow" fieldPosition="0">
        <references count="1">
          <reference field="4294967294" count="1" selected="0">
            <x v="32"/>
          </reference>
        </references>
      </pivotArea>
    </format>
    <format dxfId="1381">
      <pivotArea field="0" dataOnly="0" labelOnly="1" grandRow="1" outline="0" axis="axisRow" fieldPosition="0">
        <references count="1">
          <reference field="4294967294" count="1" selected="0">
            <x v="33"/>
          </reference>
        </references>
      </pivotArea>
    </format>
    <format dxfId="1380">
      <pivotArea field="0" dataOnly="0" labelOnly="1" grandRow="1" outline="0" axis="axisRow" fieldPosition="0">
        <references count="1">
          <reference field="4294967294" count="1" selected="0">
            <x v="34"/>
          </reference>
        </references>
      </pivotArea>
    </format>
    <format dxfId="1379">
      <pivotArea field="0" dataOnly="0" labelOnly="1" grandRow="1" outline="0" axis="axisRow" fieldPosition="0">
        <references count="1">
          <reference field="4294967294" count="1" selected="0">
            <x v="35"/>
          </reference>
        </references>
      </pivotArea>
    </format>
    <format dxfId="1378">
      <pivotArea field="0" dataOnly="0" labelOnly="1" grandRow="1" outline="0" axis="axisRow" fieldPosition="0">
        <references count="1">
          <reference field="4294967294" count="1" selected="0">
            <x v="0"/>
          </reference>
        </references>
      </pivotArea>
    </format>
    <format dxfId="1377">
      <pivotArea field="0" dataOnly="0" labelOnly="1" grandRow="1" outline="0" axis="axisRow" fieldPosition="0">
        <references count="1">
          <reference field="4294967294" count="1" selected="0">
            <x v="1"/>
          </reference>
        </references>
      </pivotArea>
    </format>
    <format dxfId="1376">
      <pivotArea field="0" dataOnly="0" labelOnly="1" grandRow="1" outline="0" axis="axisRow" fieldPosition="0">
        <references count="1">
          <reference field="4294967294" count="1" selected="0">
            <x v="2"/>
          </reference>
        </references>
      </pivotArea>
    </format>
    <format dxfId="1375">
      <pivotArea field="0" dataOnly="0" labelOnly="1" grandRow="1" outline="0" axis="axisRow" fieldPosition="0">
        <references count="1">
          <reference field="4294967294" count="1" selected="0">
            <x v="3"/>
          </reference>
        </references>
      </pivotArea>
    </format>
    <format dxfId="1374">
      <pivotArea field="0" dataOnly="0" labelOnly="1" grandRow="1" outline="0" axis="axisRow" fieldPosition="0">
        <references count="1">
          <reference field="4294967294" count="1" selected="0">
            <x v="4"/>
          </reference>
        </references>
      </pivotArea>
    </format>
    <format dxfId="1373">
      <pivotArea field="0" dataOnly="0" labelOnly="1" grandRow="1" outline="0" axis="axisRow" fieldPosition="0">
        <references count="1">
          <reference field="4294967294" count="1" selected="0">
            <x v="5"/>
          </reference>
        </references>
      </pivotArea>
    </format>
    <format dxfId="1372">
      <pivotArea field="0" dataOnly="0" labelOnly="1" grandRow="1" outline="0" axis="axisRow" fieldPosition="0">
        <references count="1">
          <reference field="4294967294" count="1" selected="0">
            <x v="6"/>
          </reference>
        </references>
      </pivotArea>
    </format>
    <format dxfId="1371">
      <pivotArea field="0" dataOnly="0" labelOnly="1" grandRow="1" outline="0" axis="axisRow" fieldPosition="0">
        <references count="1">
          <reference field="4294967294" count="1" selected="0">
            <x v="7"/>
          </reference>
        </references>
      </pivotArea>
    </format>
    <format dxfId="1370">
      <pivotArea field="0" dataOnly="0" labelOnly="1" grandRow="1" outline="0" axis="axisRow" fieldPosition="0">
        <references count="1">
          <reference field="4294967294" count="1" selected="0">
            <x v="8"/>
          </reference>
        </references>
      </pivotArea>
    </format>
    <format dxfId="1369">
      <pivotArea field="0" dataOnly="0" labelOnly="1" grandRow="1" outline="0" axis="axisRow" fieldPosition="0">
        <references count="1">
          <reference field="4294967294" count="1" selected="0">
            <x v="9"/>
          </reference>
        </references>
      </pivotArea>
    </format>
    <format dxfId="1368">
      <pivotArea field="0" dataOnly="0" labelOnly="1" grandRow="1" outline="0" axis="axisRow" fieldPosition="0">
        <references count="1">
          <reference field="4294967294" count="1" selected="0">
            <x v="10"/>
          </reference>
        </references>
      </pivotArea>
    </format>
    <format dxfId="1367">
      <pivotArea field="0" dataOnly="0" labelOnly="1" grandRow="1" outline="0" axis="axisRow" fieldPosition="0">
        <references count="1">
          <reference field="4294967294" count="1" selected="0">
            <x v="11"/>
          </reference>
        </references>
      </pivotArea>
    </format>
    <format dxfId="1366">
      <pivotArea field="0" dataOnly="0" labelOnly="1" grandRow="1" outline="0" axis="axisRow" fieldPosition="0">
        <references count="1">
          <reference field="4294967294" count="1" selected="0">
            <x v="12"/>
          </reference>
        </references>
      </pivotArea>
    </format>
    <format dxfId="1365">
      <pivotArea field="0" dataOnly="0" labelOnly="1" grandRow="1" outline="0" axis="axisRow" fieldPosition="0">
        <references count="1">
          <reference field="4294967294" count="1" selected="0">
            <x v="13"/>
          </reference>
        </references>
      </pivotArea>
    </format>
    <format dxfId="1364">
      <pivotArea field="0" dataOnly="0" labelOnly="1" grandRow="1" outline="0" axis="axisRow" fieldPosition="0">
        <references count="1">
          <reference field="4294967294" count="1" selected="0">
            <x v="14"/>
          </reference>
        </references>
      </pivotArea>
    </format>
    <format dxfId="1363">
      <pivotArea field="0" dataOnly="0" labelOnly="1" grandRow="1" outline="0" axis="axisRow" fieldPosition="0">
        <references count="1">
          <reference field="4294967294" count="1" selected="0">
            <x v="15"/>
          </reference>
        </references>
      </pivotArea>
    </format>
    <format dxfId="1362">
      <pivotArea field="0" dataOnly="0" labelOnly="1" grandRow="1" outline="0" axis="axisRow" fieldPosition="0">
        <references count="1">
          <reference field="4294967294" count="1" selected="0">
            <x v="16"/>
          </reference>
        </references>
      </pivotArea>
    </format>
    <format dxfId="1361">
      <pivotArea field="0" dataOnly="0" labelOnly="1" grandRow="1" outline="0" axis="axisRow" fieldPosition="0">
        <references count="1">
          <reference field="4294967294" count="1" selected="0">
            <x v="17"/>
          </reference>
        </references>
      </pivotArea>
    </format>
    <format dxfId="1360">
      <pivotArea field="0" dataOnly="0" labelOnly="1" grandRow="1" outline="0" axis="axisRow" fieldPosition="0">
        <references count="1">
          <reference field="4294967294" count="1" selected="0">
            <x v="18"/>
          </reference>
        </references>
      </pivotArea>
    </format>
    <format dxfId="1359">
      <pivotArea field="0" dataOnly="0" labelOnly="1" grandRow="1" outline="0" axis="axisRow" fieldPosition="0">
        <references count="1">
          <reference field="4294967294" count="1" selected="0">
            <x v="19"/>
          </reference>
        </references>
      </pivotArea>
    </format>
    <format dxfId="1358">
      <pivotArea field="0" dataOnly="0" labelOnly="1" grandRow="1" outline="0" axis="axisRow" fieldPosition="0">
        <references count="1">
          <reference field="4294967294" count="1" selected="0">
            <x v="20"/>
          </reference>
        </references>
      </pivotArea>
    </format>
    <format dxfId="1357">
      <pivotArea field="0" dataOnly="0" labelOnly="1" grandRow="1" outline="0" axis="axisRow" fieldPosition="0">
        <references count="1">
          <reference field="4294967294" count="1" selected="0">
            <x v="21"/>
          </reference>
        </references>
      </pivotArea>
    </format>
    <format dxfId="1356">
      <pivotArea field="0" dataOnly="0" labelOnly="1" grandRow="1" outline="0" axis="axisRow" fieldPosition="0">
        <references count="1">
          <reference field="4294967294" count="1" selected="0">
            <x v="22"/>
          </reference>
        </references>
      </pivotArea>
    </format>
    <format dxfId="1355">
      <pivotArea field="0" dataOnly="0" labelOnly="1" grandRow="1" outline="0" axis="axisRow" fieldPosition="0">
        <references count="1">
          <reference field="4294967294" count="1" selected="0">
            <x v="23"/>
          </reference>
        </references>
      </pivotArea>
    </format>
    <format dxfId="1354">
      <pivotArea field="0" dataOnly="0" labelOnly="1" grandRow="1" outline="0" axis="axisRow" fieldPosition="0">
        <references count="1">
          <reference field="4294967294" count="1" selected="0">
            <x v="24"/>
          </reference>
        </references>
      </pivotArea>
    </format>
    <format dxfId="1353">
      <pivotArea field="0" dataOnly="0" labelOnly="1" grandRow="1" outline="0" axis="axisRow" fieldPosition="0">
        <references count="1">
          <reference field="4294967294" count="1" selected="0">
            <x v="25"/>
          </reference>
        </references>
      </pivotArea>
    </format>
    <format dxfId="1352">
      <pivotArea field="0" dataOnly="0" labelOnly="1" grandRow="1" outline="0" axis="axisRow" fieldPosition="0">
        <references count="1">
          <reference field="4294967294" count="1" selected="0">
            <x v="26"/>
          </reference>
        </references>
      </pivotArea>
    </format>
    <format dxfId="1351">
      <pivotArea field="0" dataOnly="0" labelOnly="1" grandRow="1" outline="0" axis="axisRow" fieldPosition="0">
        <references count="1">
          <reference field="4294967294" count="1" selected="0">
            <x v="27"/>
          </reference>
        </references>
      </pivotArea>
    </format>
    <format dxfId="1350">
      <pivotArea field="0" dataOnly="0" labelOnly="1" grandRow="1" outline="0" axis="axisRow" fieldPosition="0">
        <references count="1">
          <reference field="4294967294" count="1" selected="0">
            <x v="28"/>
          </reference>
        </references>
      </pivotArea>
    </format>
    <format dxfId="1349">
      <pivotArea field="0" dataOnly="0" labelOnly="1" grandRow="1" outline="0" axis="axisRow" fieldPosition="0">
        <references count="1">
          <reference field="4294967294" count="1" selected="0">
            <x v="29"/>
          </reference>
        </references>
      </pivotArea>
    </format>
    <format dxfId="1348">
      <pivotArea field="0" dataOnly="0" labelOnly="1" grandRow="1" outline="0" axis="axisRow" fieldPosition="0">
        <references count="1">
          <reference field="4294967294" count="1" selected="0">
            <x v="30"/>
          </reference>
        </references>
      </pivotArea>
    </format>
    <format dxfId="1347">
      <pivotArea field="0" dataOnly="0" labelOnly="1" grandRow="1" outline="0" axis="axisRow" fieldPosition="0">
        <references count="1">
          <reference field="4294967294" count="1" selected="0">
            <x v="31"/>
          </reference>
        </references>
      </pivotArea>
    </format>
    <format dxfId="1346">
      <pivotArea field="0" dataOnly="0" labelOnly="1" grandRow="1" outline="0" axis="axisRow" fieldPosition="0">
        <references count="1">
          <reference field="4294967294" count="1" selected="0">
            <x v="32"/>
          </reference>
        </references>
      </pivotArea>
    </format>
    <format dxfId="1345">
      <pivotArea field="0" dataOnly="0" labelOnly="1" grandRow="1" outline="0" axis="axisRow" fieldPosition="0">
        <references count="1">
          <reference field="4294967294" count="1" selected="0">
            <x v="33"/>
          </reference>
        </references>
      </pivotArea>
    </format>
    <format dxfId="1344">
      <pivotArea field="0" dataOnly="0" labelOnly="1" grandRow="1" outline="0" axis="axisRow" fieldPosition="0">
        <references count="1">
          <reference field="4294967294" count="1" selected="0">
            <x v="34"/>
          </reference>
        </references>
      </pivotArea>
    </format>
    <format dxfId="1343">
      <pivotArea field="0" dataOnly="0" labelOnly="1" grandRow="1" outline="0" axis="axisRow" fieldPosition="0">
        <references count="1">
          <reference field="4294967294" count="1" selected="0">
            <x v="35"/>
          </reference>
        </references>
      </pivotArea>
    </format>
    <format dxfId="1342">
      <pivotArea field="0" dataOnly="0" labelOnly="1" grandRow="1" outline="0" axis="axisRow" fieldPosition="0">
        <references count="1">
          <reference field="4294967294" count="1" selected="0">
            <x v="0"/>
          </reference>
        </references>
      </pivotArea>
    </format>
    <format dxfId="1341">
      <pivotArea field="0" dataOnly="0" labelOnly="1" grandRow="1" outline="0" axis="axisRow" fieldPosition="0">
        <references count="1">
          <reference field="4294967294" count="1" selected="0">
            <x v="1"/>
          </reference>
        </references>
      </pivotArea>
    </format>
    <format dxfId="1340">
      <pivotArea field="0" dataOnly="0" labelOnly="1" grandRow="1" outline="0" axis="axisRow" fieldPosition="0">
        <references count="1">
          <reference field="4294967294" count="1" selected="0">
            <x v="2"/>
          </reference>
        </references>
      </pivotArea>
    </format>
    <format dxfId="1339">
      <pivotArea field="0" dataOnly="0" labelOnly="1" grandRow="1" outline="0" axis="axisRow" fieldPosition="0">
        <references count="1">
          <reference field="4294967294" count="1" selected="0">
            <x v="3"/>
          </reference>
        </references>
      </pivotArea>
    </format>
    <format dxfId="1338">
      <pivotArea field="0" dataOnly="0" labelOnly="1" grandRow="1" outline="0" axis="axisRow" fieldPosition="0">
        <references count="1">
          <reference field="4294967294" count="1" selected="0">
            <x v="4"/>
          </reference>
        </references>
      </pivotArea>
    </format>
    <format dxfId="1337">
      <pivotArea field="0" dataOnly="0" labelOnly="1" grandRow="1" outline="0" axis="axisRow" fieldPosition="0">
        <references count="1">
          <reference field="4294967294" count="1" selected="0">
            <x v="5"/>
          </reference>
        </references>
      </pivotArea>
    </format>
    <format dxfId="1336">
      <pivotArea field="0" dataOnly="0" labelOnly="1" grandRow="1" outline="0" axis="axisRow" fieldPosition="0">
        <references count="1">
          <reference field="4294967294" count="1" selected="0">
            <x v="6"/>
          </reference>
        </references>
      </pivotArea>
    </format>
    <format dxfId="1335">
      <pivotArea field="0" dataOnly="0" labelOnly="1" grandRow="1" outline="0" axis="axisRow" fieldPosition="0">
        <references count="1">
          <reference field="4294967294" count="1" selected="0">
            <x v="7"/>
          </reference>
        </references>
      </pivotArea>
    </format>
    <format dxfId="1334">
      <pivotArea field="0" dataOnly="0" labelOnly="1" grandRow="1" outline="0" axis="axisRow" fieldPosition="0">
        <references count="1">
          <reference field="4294967294" count="1" selected="0">
            <x v="8"/>
          </reference>
        </references>
      </pivotArea>
    </format>
    <format dxfId="1333">
      <pivotArea field="0" dataOnly="0" labelOnly="1" grandRow="1" outline="0" axis="axisRow" fieldPosition="0">
        <references count="1">
          <reference field="4294967294" count="1" selected="0">
            <x v="9"/>
          </reference>
        </references>
      </pivotArea>
    </format>
    <format dxfId="1332">
      <pivotArea field="0" dataOnly="0" labelOnly="1" grandRow="1" outline="0" axis="axisRow" fieldPosition="0">
        <references count="1">
          <reference field="4294967294" count="1" selected="0">
            <x v="10"/>
          </reference>
        </references>
      </pivotArea>
    </format>
    <format dxfId="1331">
      <pivotArea field="0" dataOnly="0" labelOnly="1" grandRow="1" outline="0" axis="axisRow" fieldPosition="0">
        <references count="1">
          <reference field="4294967294" count="1" selected="0">
            <x v="11"/>
          </reference>
        </references>
      </pivotArea>
    </format>
    <format dxfId="1330">
      <pivotArea field="0" dataOnly="0" labelOnly="1" grandRow="1" outline="0" axis="axisRow" fieldPosition="0">
        <references count="1">
          <reference field="4294967294" count="1" selected="0">
            <x v="12"/>
          </reference>
        </references>
      </pivotArea>
    </format>
    <format dxfId="1329">
      <pivotArea field="0" dataOnly="0" labelOnly="1" grandRow="1" outline="0" axis="axisRow" fieldPosition="0">
        <references count="1">
          <reference field="4294967294" count="1" selected="0">
            <x v="13"/>
          </reference>
        </references>
      </pivotArea>
    </format>
    <format dxfId="1328">
      <pivotArea field="0" dataOnly="0" labelOnly="1" grandRow="1" outline="0" axis="axisRow" fieldPosition="0">
        <references count="1">
          <reference field="4294967294" count="1" selected="0">
            <x v="14"/>
          </reference>
        </references>
      </pivotArea>
    </format>
    <format dxfId="1327">
      <pivotArea field="0" dataOnly="0" labelOnly="1" grandRow="1" outline="0" axis="axisRow" fieldPosition="0">
        <references count="1">
          <reference field="4294967294" count="1" selected="0">
            <x v="15"/>
          </reference>
        </references>
      </pivotArea>
    </format>
    <format dxfId="1326">
      <pivotArea field="0" dataOnly="0" labelOnly="1" grandRow="1" outline="0" axis="axisRow" fieldPosition="0">
        <references count="1">
          <reference field="4294967294" count="1" selected="0">
            <x v="16"/>
          </reference>
        </references>
      </pivotArea>
    </format>
    <format dxfId="1325">
      <pivotArea field="0" dataOnly="0" labelOnly="1" grandRow="1" outline="0" axis="axisRow" fieldPosition="0">
        <references count="1">
          <reference field="4294967294" count="1" selected="0">
            <x v="17"/>
          </reference>
        </references>
      </pivotArea>
    </format>
    <format dxfId="1324">
      <pivotArea field="0" dataOnly="0" labelOnly="1" grandRow="1" outline="0" axis="axisRow" fieldPosition="0">
        <references count="1">
          <reference field="4294967294" count="1" selected="0">
            <x v="18"/>
          </reference>
        </references>
      </pivotArea>
    </format>
    <format dxfId="1323">
      <pivotArea field="0" dataOnly="0" labelOnly="1" grandRow="1" outline="0" axis="axisRow" fieldPosition="0">
        <references count="1">
          <reference field="4294967294" count="1" selected="0">
            <x v="19"/>
          </reference>
        </references>
      </pivotArea>
    </format>
    <format dxfId="1322">
      <pivotArea field="0" dataOnly="0" labelOnly="1" grandRow="1" outline="0" axis="axisRow" fieldPosition="0">
        <references count="1">
          <reference field="4294967294" count="1" selected="0">
            <x v="20"/>
          </reference>
        </references>
      </pivotArea>
    </format>
    <format dxfId="1321">
      <pivotArea field="0" dataOnly="0" labelOnly="1" grandRow="1" outline="0" axis="axisRow" fieldPosition="0">
        <references count="1">
          <reference field="4294967294" count="1" selected="0">
            <x v="21"/>
          </reference>
        </references>
      </pivotArea>
    </format>
    <format dxfId="1320">
      <pivotArea field="0" dataOnly="0" labelOnly="1" grandRow="1" outline="0" axis="axisRow" fieldPosition="0">
        <references count="1">
          <reference field="4294967294" count="1" selected="0">
            <x v="22"/>
          </reference>
        </references>
      </pivotArea>
    </format>
    <format dxfId="1319">
      <pivotArea field="0" dataOnly="0" labelOnly="1" grandRow="1" outline="0" axis="axisRow" fieldPosition="0">
        <references count="1">
          <reference field="4294967294" count="1" selected="0">
            <x v="23"/>
          </reference>
        </references>
      </pivotArea>
    </format>
    <format dxfId="1318">
      <pivotArea field="0" dataOnly="0" labelOnly="1" grandRow="1" outline="0" axis="axisRow" fieldPosition="0">
        <references count="1">
          <reference field="4294967294" count="1" selected="0">
            <x v="24"/>
          </reference>
        </references>
      </pivotArea>
    </format>
    <format dxfId="1317">
      <pivotArea field="0" dataOnly="0" labelOnly="1" grandRow="1" outline="0" axis="axisRow" fieldPosition="0">
        <references count="1">
          <reference field="4294967294" count="1" selected="0">
            <x v="25"/>
          </reference>
        </references>
      </pivotArea>
    </format>
    <format dxfId="1316">
      <pivotArea field="0" dataOnly="0" labelOnly="1" grandRow="1" outline="0" axis="axisRow" fieldPosition="0">
        <references count="1">
          <reference field="4294967294" count="1" selected="0">
            <x v="26"/>
          </reference>
        </references>
      </pivotArea>
    </format>
    <format dxfId="1315">
      <pivotArea field="0" dataOnly="0" labelOnly="1" grandRow="1" outline="0" axis="axisRow" fieldPosition="0">
        <references count="1">
          <reference field="4294967294" count="1" selected="0">
            <x v="27"/>
          </reference>
        </references>
      </pivotArea>
    </format>
    <format dxfId="1314">
      <pivotArea field="0" dataOnly="0" labelOnly="1" grandRow="1" outline="0" axis="axisRow" fieldPosition="0">
        <references count="1">
          <reference field="4294967294" count="1" selected="0">
            <x v="28"/>
          </reference>
        </references>
      </pivotArea>
    </format>
    <format dxfId="1313">
      <pivotArea field="0" dataOnly="0" labelOnly="1" grandRow="1" outline="0" axis="axisRow" fieldPosition="0">
        <references count="1">
          <reference field="4294967294" count="1" selected="0">
            <x v="29"/>
          </reference>
        </references>
      </pivotArea>
    </format>
    <format dxfId="1312">
      <pivotArea field="0" dataOnly="0" labelOnly="1" grandRow="1" outline="0" axis="axisRow" fieldPosition="0">
        <references count="1">
          <reference field="4294967294" count="1" selected="0">
            <x v="30"/>
          </reference>
        </references>
      </pivotArea>
    </format>
    <format dxfId="1311">
      <pivotArea field="0" dataOnly="0" labelOnly="1" grandRow="1" outline="0" axis="axisRow" fieldPosition="0">
        <references count="1">
          <reference field="4294967294" count="1" selected="0">
            <x v="31"/>
          </reference>
        </references>
      </pivotArea>
    </format>
    <format dxfId="1310">
      <pivotArea field="0" dataOnly="0" labelOnly="1" grandRow="1" outline="0" axis="axisRow" fieldPosition="0">
        <references count="1">
          <reference field="4294967294" count="1" selected="0">
            <x v="32"/>
          </reference>
        </references>
      </pivotArea>
    </format>
    <format dxfId="1309">
      <pivotArea field="0" dataOnly="0" labelOnly="1" grandRow="1" outline="0" axis="axisRow" fieldPosition="0">
        <references count="1">
          <reference field="4294967294" count="1" selected="0">
            <x v="33"/>
          </reference>
        </references>
      </pivotArea>
    </format>
    <format dxfId="1308">
      <pivotArea field="0" dataOnly="0" labelOnly="1" grandRow="1" outline="0" axis="axisRow" fieldPosition="0">
        <references count="1">
          <reference field="4294967294" count="1" selected="0">
            <x v="34"/>
          </reference>
        </references>
      </pivotArea>
    </format>
    <format dxfId="1307">
      <pivotArea field="0" dataOnly="0" labelOnly="1" grandRow="1" outline="0" axis="axisRow" fieldPosition="0">
        <references count="1">
          <reference field="4294967294" count="1" selected="0">
            <x v="35"/>
          </reference>
        </references>
      </pivotArea>
    </format>
    <format dxfId="1306">
      <pivotArea field="0" dataOnly="0" labelOnly="1" grandRow="1" outline="0" axis="axisRow" fieldPosition="0">
        <references count="1">
          <reference field="4294967294" count="1" selected="0">
            <x v="0"/>
          </reference>
        </references>
      </pivotArea>
    </format>
    <format dxfId="1305">
      <pivotArea field="0" dataOnly="0" labelOnly="1" grandRow="1" outline="0" axis="axisRow" fieldPosition="0">
        <references count="1">
          <reference field="4294967294" count="1" selected="0">
            <x v="1"/>
          </reference>
        </references>
      </pivotArea>
    </format>
    <format dxfId="1304">
      <pivotArea field="0" dataOnly="0" labelOnly="1" grandRow="1" outline="0" axis="axisRow" fieldPosition="0">
        <references count="1">
          <reference field="4294967294" count="1" selected="0">
            <x v="2"/>
          </reference>
        </references>
      </pivotArea>
    </format>
    <format dxfId="1303">
      <pivotArea field="0" dataOnly="0" labelOnly="1" grandRow="1" outline="0" axis="axisRow" fieldPosition="0">
        <references count="1">
          <reference field="4294967294" count="1" selected="0">
            <x v="3"/>
          </reference>
        </references>
      </pivotArea>
    </format>
    <format dxfId="1302">
      <pivotArea field="0" dataOnly="0" labelOnly="1" grandRow="1" outline="0" axis="axisRow" fieldPosition="0">
        <references count="1">
          <reference field="4294967294" count="1" selected="0">
            <x v="4"/>
          </reference>
        </references>
      </pivotArea>
    </format>
    <format dxfId="1301">
      <pivotArea field="0" dataOnly="0" labelOnly="1" grandRow="1" outline="0" axis="axisRow" fieldPosition="0">
        <references count="1">
          <reference field="4294967294" count="1" selected="0">
            <x v="5"/>
          </reference>
        </references>
      </pivotArea>
    </format>
    <format dxfId="1300">
      <pivotArea field="0" dataOnly="0" labelOnly="1" grandRow="1" outline="0" axis="axisRow" fieldPosition="0">
        <references count="1">
          <reference field="4294967294" count="1" selected="0">
            <x v="6"/>
          </reference>
        </references>
      </pivotArea>
    </format>
    <format dxfId="1299">
      <pivotArea field="0" dataOnly="0" labelOnly="1" grandRow="1" outline="0" axis="axisRow" fieldPosition="0">
        <references count="1">
          <reference field="4294967294" count="1" selected="0">
            <x v="7"/>
          </reference>
        </references>
      </pivotArea>
    </format>
    <format dxfId="1298">
      <pivotArea field="0" dataOnly="0" labelOnly="1" grandRow="1" outline="0" axis="axisRow" fieldPosition="0">
        <references count="1">
          <reference field="4294967294" count="1" selected="0">
            <x v="8"/>
          </reference>
        </references>
      </pivotArea>
    </format>
    <format dxfId="1297">
      <pivotArea field="0" dataOnly="0" labelOnly="1" grandRow="1" outline="0" axis="axisRow" fieldPosition="0">
        <references count="1">
          <reference field="4294967294" count="1" selected="0">
            <x v="9"/>
          </reference>
        </references>
      </pivotArea>
    </format>
    <format dxfId="1296">
      <pivotArea field="0" dataOnly="0" labelOnly="1" grandRow="1" outline="0" axis="axisRow" fieldPosition="0">
        <references count="1">
          <reference field="4294967294" count="1" selected="0">
            <x v="10"/>
          </reference>
        </references>
      </pivotArea>
    </format>
    <format dxfId="1295">
      <pivotArea field="0" dataOnly="0" labelOnly="1" grandRow="1" outline="0" axis="axisRow" fieldPosition="0">
        <references count="1">
          <reference field="4294967294" count="1" selected="0">
            <x v="11"/>
          </reference>
        </references>
      </pivotArea>
    </format>
    <format dxfId="1294">
      <pivotArea field="0" dataOnly="0" labelOnly="1" grandRow="1" outline="0" axis="axisRow" fieldPosition="0">
        <references count="1">
          <reference field="4294967294" count="1" selected="0">
            <x v="12"/>
          </reference>
        </references>
      </pivotArea>
    </format>
    <format dxfId="1293">
      <pivotArea field="0" dataOnly="0" labelOnly="1" grandRow="1" outline="0" axis="axisRow" fieldPosition="0">
        <references count="1">
          <reference field="4294967294" count="1" selected="0">
            <x v="13"/>
          </reference>
        </references>
      </pivotArea>
    </format>
    <format dxfId="1292">
      <pivotArea field="0" dataOnly="0" labelOnly="1" grandRow="1" outline="0" axis="axisRow" fieldPosition="0">
        <references count="1">
          <reference field="4294967294" count="1" selected="0">
            <x v="14"/>
          </reference>
        </references>
      </pivotArea>
    </format>
    <format dxfId="1291">
      <pivotArea field="0" dataOnly="0" labelOnly="1" grandRow="1" outline="0" axis="axisRow" fieldPosition="0">
        <references count="1">
          <reference field="4294967294" count="1" selected="0">
            <x v="15"/>
          </reference>
        </references>
      </pivotArea>
    </format>
    <format dxfId="1290">
      <pivotArea field="0" dataOnly="0" labelOnly="1" grandRow="1" outline="0" axis="axisRow" fieldPosition="0">
        <references count="1">
          <reference field="4294967294" count="1" selected="0">
            <x v="16"/>
          </reference>
        </references>
      </pivotArea>
    </format>
    <format dxfId="1289">
      <pivotArea field="0" dataOnly="0" labelOnly="1" grandRow="1" outline="0" axis="axisRow" fieldPosition="0">
        <references count="1">
          <reference field="4294967294" count="1" selected="0">
            <x v="17"/>
          </reference>
        </references>
      </pivotArea>
    </format>
    <format dxfId="1288">
      <pivotArea field="0" dataOnly="0" labelOnly="1" grandRow="1" outline="0" axis="axisRow" fieldPosition="0">
        <references count="1">
          <reference field="4294967294" count="1" selected="0">
            <x v="18"/>
          </reference>
        </references>
      </pivotArea>
    </format>
    <format dxfId="1287">
      <pivotArea field="0" dataOnly="0" labelOnly="1" grandRow="1" outline="0" axis="axisRow" fieldPosition="0">
        <references count="1">
          <reference field="4294967294" count="1" selected="0">
            <x v="19"/>
          </reference>
        </references>
      </pivotArea>
    </format>
    <format dxfId="1286">
      <pivotArea field="0" dataOnly="0" labelOnly="1" grandRow="1" outline="0" axis="axisRow" fieldPosition="0">
        <references count="1">
          <reference field="4294967294" count="1" selected="0">
            <x v="20"/>
          </reference>
        </references>
      </pivotArea>
    </format>
    <format dxfId="1285">
      <pivotArea field="0" dataOnly="0" labelOnly="1" grandRow="1" outline="0" axis="axisRow" fieldPosition="0">
        <references count="1">
          <reference field="4294967294" count="1" selected="0">
            <x v="21"/>
          </reference>
        </references>
      </pivotArea>
    </format>
    <format dxfId="1284">
      <pivotArea field="0" dataOnly="0" labelOnly="1" grandRow="1" outline="0" axis="axisRow" fieldPosition="0">
        <references count="1">
          <reference field="4294967294" count="1" selected="0">
            <x v="22"/>
          </reference>
        </references>
      </pivotArea>
    </format>
    <format dxfId="1283">
      <pivotArea field="0" dataOnly="0" labelOnly="1" grandRow="1" outline="0" axis="axisRow" fieldPosition="0">
        <references count="1">
          <reference field="4294967294" count="1" selected="0">
            <x v="23"/>
          </reference>
        </references>
      </pivotArea>
    </format>
    <format dxfId="1282">
      <pivotArea field="0" dataOnly="0" labelOnly="1" grandRow="1" outline="0" axis="axisRow" fieldPosition="0">
        <references count="1">
          <reference field="4294967294" count="1" selected="0">
            <x v="24"/>
          </reference>
        </references>
      </pivotArea>
    </format>
    <format dxfId="1281">
      <pivotArea field="0" dataOnly="0" labelOnly="1" grandRow="1" outline="0" axis="axisRow" fieldPosition="0">
        <references count="1">
          <reference field="4294967294" count="1" selected="0">
            <x v="25"/>
          </reference>
        </references>
      </pivotArea>
    </format>
    <format dxfId="1280">
      <pivotArea field="0" dataOnly="0" labelOnly="1" grandRow="1" outline="0" axis="axisRow" fieldPosition="0">
        <references count="1">
          <reference field="4294967294" count="1" selected="0">
            <x v="26"/>
          </reference>
        </references>
      </pivotArea>
    </format>
    <format dxfId="1279">
      <pivotArea field="0" dataOnly="0" labelOnly="1" grandRow="1" outline="0" axis="axisRow" fieldPosition="0">
        <references count="1">
          <reference field="4294967294" count="1" selected="0">
            <x v="27"/>
          </reference>
        </references>
      </pivotArea>
    </format>
    <format dxfId="1278">
      <pivotArea field="0" dataOnly="0" labelOnly="1" grandRow="1" outline="0" axis="axisRow" fieldPosition="0">
        <references count="1">
          <reference field="4294967294" count="1" selected="0">
            <x v="28"/>
          </reference>
        </references>
      </pivotArea>
    </format>
    <format dxfId="1277">
      <pivotArea field="0" dataOnly="0" labelOnly="1" grandRow="1" outline="0" axis="axisRow" fieldPosition="0">
        <references count="1">
          <reference field="4294967294" count="1" selected="0">
            <x v="29"/>
          </reference>
        </references>
      </pivotArea>
    </format>
    <format dxfId="1276">
      <pivotArea field="0" dataOnly="0" labelOnly="1" grandRow="1" outline="0" axis="axisRow" fieldPosition="0">
        <references count="1">
          <reference field="4294967294" count="1" selected="0">
            <x v="30"/>
          </reference>
        </references>
      </pivotArea>
    </format>
    <format dxfId="1275">
      <pivotArea field="0" dataOnly="0" labelOnly="1" grandRow="1" outline="0" axis="axisRow" fieldPosition="0">
        <references count="1">
          <reference field="4294967294" count="1" selected="0">
            <x v="31"/>
          </reference>
        </references>
      </pivotArea>
    </format>
    <format dxfId="1274">
      <pivotArea field="0" dataOnly="0" labelOnly="1" grandRow="1" outline="0" axis="axisRow" fieldPosition="0">
        <references count="1">
          <reference field="4294967294" count="1" selected="0">
            <x v="32"/>
          </reference>
        </references>
      </pivotArea>
    </format>
    <format dxfId="1273">
      <pivotArea field="0" dataOnly="0" labelOnly="1" grandRow="1" outline="0" axis="axisRow" fieldPosition="0">
        <references count="1">
          <reference field="4294967294" count="1" selected="0">
            <x v="33"/>
          </reference>
        </references>
      </pivotArea>
    </format>
    <format dxfId="1272">
      <pivotArea field="0" dataOnly="0" labelOnly="1" grandRow="1" outline="0" axis="axisRow" fieldPosition="0">
        <references count="1">
          <reference field="4294967294" count="1" selected="0">
            <x v="34"/>
          </reference>
        </references>
      </pivotArea>
    </format>
    <format dxfId="1271">
      <pivotArea field="0" dataOnly="0" labelOnly="1" grandRow="1" outline="0" axis="axisRow" fieldPosition="0">
        <references count="1">
          <reference field="4294967294" count="1" selected="0">
            <x v="35"/>
          </reference>
        </references>
      </pivotArea>
    </format>
    <format dxfId="1270">
      <pivotArea field="0" dataOnly="0" labelOnly="1" grandRow="1" outline="0" axis="axisRow" fieldPosition="0">
        <references count="1">
          <reference field="4294967294" count="1" selected="0">
            <x v="0"/>
          </reference>
        </references>
      </pivotArea>
    </format>
    <format dxfId="1269">
      <pivotArea field="0" dataOnly="0" labelOnly="1" grandRow="1" outline="0" axis="axisRow" fieldPosition="0">
        <references count="1">
          <reference field="4294967294" count="1" selected="0">
            <x v="1"/>
          </reference>
        </references>
      </pivotArea>
    </format>
    <format dxfId="1268">
      <pivotArea field="0" dataOnly="0" labelOnly="1" grandRow="1" outline="0" axis="axisRow" fieldPosition="0">
        <references count="1">
          <reference field="4294967294" count="1" selected="0">
            <x v="2"/>
          </reference>
        </references>
      </pivotArea>
    </format>
    <format dxfId="1267">
      <pivotArea field="0" dataOnly="0" labelOnly="1" grandRow="1" outline="0" axis="axisRow" fieldPosition="0">
        <references count="1">
          <reference field="4294967294" count="1" selected="0">
            <x v="3"/>
          </reference>
        </references>
      </pivotArea>
    </format>
    <format dxfId="1266">
      <pivotArea field="0" dataOnly="0" labelOnly="1" grandRow="1" outline="0" axis="axisRow" fieldPosition="0">
        <references count="1">
          <reference field="4294967294" count="1" selected="0">
            <x v="4"/>
          </reference>
        </references>
      </pivotArea>
    </format>
    <format dxfId="1265">
      <pivotArea field="0" dataOnly="0" labelOnly="1" grandRow="1" outline="0" axis="axisRow" fieldPosition="0">
        <references count="1">
          <reference field="4294967294" count="1" selected="0">
            <x v="5"/>
          </reference>
        </references>
      </pivotArea>
    </format>
    <format dxfId="1264">
      <pivotArea field="0" dataOnly="0" labelOnly="1" grandRow="1" outline="0" axis="axisRow" fieldPosition="0">
        <references count="1">
          <reference field="4294967294" count="1" selected="0">
            <x v="6"/>
          </reference>
        </references>
      </pivotArea>
    </format>
    <format dxfId="1263">
      <pivotArea field="0" dataOnly="0" labelOnly="1" grandRow="1" outline="0" axis="axisRow" fieldPosition="0">
        <references count="1">
          <reference field="4294967294" count="1" selected="0">
            <x v="7"/>
          </reference>
        </references>
      </pivotArea>
    </format>
    <format dxfId="1262">
      <pivotArea field="0" dataOnly="0" labelOnly="1" grandRow="1" outline="0" axis="axisRow" fieldPosition="0">
        <references count="1">
          <reference field="4294967294" count="1" selected="0">
            <x v="8"/>
          </reference>
        </references>
      </pivotArea>
    </format>
    <format dxfId="1261">
      <pivotArea field="0" dataOnly="0" labelOnly="1" grandRow="1" outline="0" axis="axisRow" fieldPosition="0">
        <references count="1">
          <reference field="4294967294" count="1" selected="0">
            <x v="9"/>
          </reference>
        </references>
      </pivotArea>
    </format>
    <format dxfId="1260">
      <pivotArea field="0" dataOnly="0" labelOnly="1" grandRow="1" outline="0" axis="axisRow" fieldPosition="0">
        <references count="1">
          <reference field="4294967294" count="1" selected="0">
            <x v="10"/>
          </reference>
        </references>
      </pivotArea>
    </format>
    <format dxfId="1259">
      <pivotArea field="0" dataOnly="0" labelOnly="1" grandRow="1" outline="0" axis="axisRow" fieldPosition="0">
        <references count="1">
          <reference field="4294967294" count="1" selected="0">
            <x v="11"/>
          </reference>
        </references>
      </pivotArea>
    </format>
    <format dxfId="1258">
      <pivotArea field="0" dataOnly="0" labelOnly="1" grandRow="1" outline="0" axis="axisRow" fieldPosition="0">
        <references count="1">
          <reference field="4294967294" count="1" selected="0">
            <x v="12"/>
          </reference>
        </references>
      </pivotArea>
    </format>
    <format dxfId="1257">
      <pivotArea field="0" dataOnly="0" labelOnly="1" grandRow="1" outline="0" axis="axisRow" fieldPosition="0">
        <references count="1">
          <reference field="4294967294" count="1" selected="0">
            <x v="13"/>
          </reference>
        </references>
      </pivotArea>
    </format>
    <format dxfId="1256">
      <pivotArea field="0" dataOnly="0" labelOnly="1" grandRow="1" outline="0" axis="axisRow" fieldPosition="0">
        <references count="1">
          <reference field="4294967294" count="1" selected="0">
            <x v="14"/>
          </reference>
        </references>
      </pivotArea>
    </format>
    <format dxfId="1255">
      <pivotArea field="0" dataOnly="0" labelOnly="1" grandRow="1" outline="0" axis="axisRow" fieldPosition="0">
        <references count="1">
          <reference field="4294967294" count="1" selected="0">
            <x v="15"/>
          </reference>
        </references>
      </pivotArea>
    </format>
    <format dxfId="1254">
      <pivotArea field="0" dataOnly="0" labelOnly="1" grandRow="1" outline="0" axis="axisRow" fieldPosition="0">
        <references count="1">
          <reference field="4294967294" count="1" selected="0">
            <x v="16"/>
          </reference>
        </references>
      </pivotArea>
    </format>
    <format dxfId="1253">
      <pivotArea field="0" dataOnly="0" labelOnly="1" grandRow="1" outline="0" axis="axisRow" fieldPosition="0">
        <references count="1">
          <reference field="4294967294" count="1" selected="0">
            <x v="17"/>
          </reference>
        </references>
      </pivotArea>
    </format>
    <format dxfId="1252">
      <pivotArea field="0" dataOnly="0" labelOnly="1" grandRow="1" outline="0" axis="axisRow" fieldPosition="0">
        <references count="1">
          <reference field="4294967294" count="1" selected="0">
            <x v="18"/>
          </reference>
        </references>
      </pivotArea>
    </format>
    <format dxfId="1251">
      <pivotArea field="0" dataOnly="0" labelOnly="1" grandRow="1" outline="0" axis="axisRow" fieldPosition="0">
        <references count="1">
          <reference field="4294967294" count="1" selected="0">
            <x v="19"/>
          </reference>
        </references>
      </pivotArea>
    </format>
    <format dxfId="1250">
      <pivotArea field="0" dataOnly="0" labelOnly="1" grandRow="1" outline="0" axis="axisRow" fieldPosition="0">
        <references count="1">
          <reference field="4294967294" count="1" selected="0">
            <x v="20"/>
          </reference>
        </references>
      </pivotArea>
    </format>
    <format dxfId="1249">
      <pivotArea field="0" dataOnly="0" labelOnly="1" grandRow="1" outline="0" axis="axisRow" fieldPosition="0">
        <references count="1">
          <reference field="4294967294" count="1" selected="0">
            <x v="21"/>
          </reference>
        </references>
      </pivotArea>
    </format>
    <format dxfId="1248">
      <pivotArea field="0" dataOnly="0" labelOnly="1" grandRow="1" outline="0" axis="axisRow" fieldPosition="0">
        <references count="1">
          <reference field="4294967294" count="1" selected="0">
            <x v="22"/>
          </reference>
        </references>
      </pivotArea>
    </format>
    <format dxfId="1247">
      <pivotArea field="0" dataOnly="0" labelOnly="1" grandRow="1" outline="0" axis="axisRow" fieldPosition="0">
        <references count="1">
          <reference field="4294967294" count="1" selected="0">
            <x v="23"/>
          </reference>
        </references>
      </pivotArea>
    </format>
    <format dxfId="1246">
      <pivotArea field="0" dataOnly="0" labelOnly="1" grandRow="1" outline="0" axis="axisRow" fieldPosition="0">
        <references count="1">
          <reference field="4294967294" count="1" selected="0">
            <x v="24"/>
          </reference>
        </references>
      </pivotArea>
    </format>
    <format dxfId="1245">
      <pivotArea field="0" dataOnly="0" labelOnly="1" grandRow="1" outline="0" axis="axisRow" fieldPosition="0">
        <references count="1">
          <reference field="4294967294" count="1" selected="0">
            <x v="25"/>
          </reference>
        </references>
      </pivotArea>
    </format>
    <format dxfId="1244">
      <pivotArea field="0" dataOnly="0" labelOnly="1" grandRow="1" outline="0" axis="axisRow" fieldPosition="0">
        <references count="1">
          <reference field="4294967294" count="1" selected="0">
            <x v="26"/>
          </reference>
        </references>
      </pivotArea>
    </format>
    <format dxfId="1243">
      <pivotArea field="0" dataOnly="0" labelOnly="1" grandRow="1" outline="0" axis="axisRow" fieldPosition="0">
        <references count="1">
          <reference field="4294967294" count="1" selected="0">
            <x v="27"/>
          </reference>
        </references>
      </pivotArea>
    </format>
    <format dxfId="1242">
      <pivotArea field="0" dataOnly="0" labelOnly="1" grandRow="1" outline="0" axis="axisRow" fieldPosition="0">
        <references count="1">
          <reference field="4294967294" count="1" selected="0">
            <x v="28"/>
          </reference>
        </references>
      </pivotArea>
    </format>
    <format dxfId="1241">
      <pivotArea field="0" dataOnly="0" labelOnly="1" grandRow="1" outline="0" axis="axisRow" fieldPosition="0">
        <references count="1">
          <reference field="4294967294" count="1" selected="0">
            <x v="29"/>
          </reference>
        </references>
      </pivotArea>
    </format>
    <format dxfId="1240">
      <pivotArea field="0" dataOnly="0" labelOnly="1" grandRow="1" outline="0" axis="axisRow" fieldPosition="0">
        <references count="1">
          <reference field="4294967294" count="1" selected="0">
            <x v="30"/>
          </reference>
        </references>
      </pivotArea>
    </format>
    <format dxfId="1239">
      <pivotArea field="0" dataOnly="0" labelOnly="1" grandRow="1" outline="0" axis="axisRow" fieldPosition="0">
        <references count="1">
          <reference field="4294967294" count="1" selected="0">
            <x v="31"/>
          </reference>
        </references>
      </pivotArea>
    </format>
    <format dxfId="1238">
      <pivotArea field="0" dataOnly="0" labelOnly="1" grandRow="1" outline="0" axis="axisRow" fieldPosition="0">
        <references count="1">
          <reference field="4294967294" count="1" selected="0">
            <x v="32"/>
          </reference>
        </references>
      </pivotArea>
    </format>
    <format dxfId="1237">
      <pivotArea field="0" dataOnly="0" labelOnly="1" grandRow="1" outline="0" axis="axisRow" fieldPosition="0">
        <references count="1">
          <reference field="4294967294" count="1" selected="0">
            <x v="33"/>
          </reference>
        </references>
      </pivotArea>
    </format>
    <format dxfId="1236">
      <pivotArea field="0" dataOnly="0" labelOnly="1" grandRow="1" outline="0" axis="axisRow" fieldPosition="0">
        <references count="1">
          <reference field="4294967294" count="1" selected="0">
            <x v="34"/>
          </reference>
        </references>
      </pivotArea>
    </format>
    <format dxfId="1235">
      <pivotArea field="0" dataOnly="0" labelOnly="1" grandRow="1" outline="0" axis="axisRow" fieldPosition="0">
        <references count="1">
          <reference field="4294967294" count="1" selected="0">
            <x v="35"/>
          </reference>
        </references>
      </pivotArea>
    </format>
    <format dxfId="1234">
      <pivotArea field="0" dataOnly="0" labelOnly="1" grandRow="1" outline="0" axis="axisRow" fieldPosition="0">
        <references count="1">
          <reference field="4294967294" count="1" selected="0">
            <x v="0"/>
          </reference>
        </references>
      </pivotArea>
    </format>
    <format dxfId="1233">
      <pivotArea field="0" dataOnly="0" labelOnly="1" grandRow="1" outline="0" axis="axisRow" fieldPosition="0">
        <references count="1">
          <reference field="4294967294" count="1" selected="0">
            <x v="1"/>
          </reference>
        </references>
      </pivotArea>
    </format>
    <format dxfId="1232">
      <pivotArea field="0" dataOnly="0" labelOnly="1" grandRow="1" outline="0" axis="axisRow" fieldPosition="0">
        <references count="1">
          <reference field="4294967294" count="1" selected="0">
            <x v="2"/>
          </reference>
        </references>
      </pivotArea>
    </format>
    <format dxfId="1231">
      <pivotArea field="0" dataOnly="0" labelOnly="1" grandRow="1" outline="0" axis="axisRow" fieldPosition="0">
        <references count="1">
          <reference field="4294967294" count="1" selected="0">
            <x v="3"/>
          </reference>
        </references>
      </pivotArea>
    </format>
    <format dxfId="1230">
      <pivotArea field="0" dataOnly="0" labelOnly="1" grandRow="1" outline="0" axis="axisRow" fieldPosition="0">
        <references count="1">
          <reference field="4294967294" count="1" selected="0">
            <x v="4"/>
          </reference>
        </references>
      </pivotArea>
    </format>
    <format dxfId="1229">
      <pivotArea field="0" dataOnly="0" labelOnly="1" grandRow="1" outline="0" axis="axisRow" fieldPosition="0">
        <references count="1">
          <reference field="4294967294" count="1" selected="0">
            <x v="5"/>
          </reference>
        </references>
      </pivotArea>
    </format>
    <format dxfId="1228">
      <pivotArea field="0" dataOnly="0" labelOnly="1" grandRow="1" outline="0" axis="axisRow" fieldPosition="0">
        <references count="1">
          <reference field="4294967294" count="1" selected="0">
            <x v="6"/>
          </reference>
        </references>
      </pivotArea>
    </format>
    <format dxfId="1227">
      <pivotArea field="0" dataOnly="0" labelOnly="1" grandRow="1" outline="0" axis="axisRow" fieldPosition="0">
        <references count="1">
          <reference field="4294967294" count="1" selected="0">
            <x v="7"/>
          </reference>
        </references>
      </pivotArea>
    </format>
    <format dxfId="1226">
      <pivotArea field="0" dataOnly="0" labelOnly="1" grandRow="1" outline="0" axis="axisRow" fieldPosition="0">
        <references count="1">
          <reference field="4294967294" count="1" selected="0">
            <x v="8"/>
          </reference>
        </references>
      </pivotArea>
    </format>
    <format dxfId="1225">
      <pivotArea field="0" dataOnly="0" labelOnly="1" grandRow="1" outline="0" axis="axisRow" fieldPosition="0">
        <references count="1">
          <reference field="4294967294" count="1" selected="0">
            <x v="9"/>
          </reference>
        </references>
      </pivotArea>
    </format>
    <format dxfId="1224">
      <pivotArea field="0" dataOnly="0" labelOnly="1" grandRow="1" outline="0" axis="axisRow" fieldPosition="0">
        <references count="1">
          <reference field="4294967294" count="1" selected="0">
            <x v="10"/>
          </reference>
        </references>
      </pivotArea>
    </format>
    <format dxfId="1223">
      <pivotArea field="0" dataOnly="0" labelOnly="1" grandRow="1" outline="0" axis="axisRow" fieldPosition="0">
        <references count="1">
          <reference field="4294967294" count="1" selected="0">
            <x v="11"/>
          </reference>
        </references>
      </pivotArea>
    </format>
    <format dxfId="1222">
      <pivotArea field="0" dataOnly="0" labelOnly="1" grandRow="1" outline="0" axis="axisRow" fieldPosition="0">
        <references count="1">
          <reference field="4294967294" count="1" selected="0">
            <x v="12"/>
          </reference>
        </references>
      </pivotArea>
    </format>
    <format dxfId="1221">
      <pivotArea field="0" dataOnly="0" labelOnly="1" grandRow="1" outline="0" axis="axisRow" fieldPosition="0">
        <references count="1">
          <reference field="4294967294" count="1" selected="0">
            <x v="13"/>
          </reference>
        </references>
      </pivotArea>
    </format>
    <format dxfId="1220">
      <pivotArea field="0" dataOnly="0" labelOnly="1" grandRow="1" outline="0" axis="axisRow" fieldPosition="0">
        <references count="1">
          <reference field="4294967294" count="1" selected="0">
            <x v="14"/>
          </reference>
        </references>
      </pivotArea>
    </format>
    <format dxfId="1219">
      <pivotArea field="0" dataOnly="0" labelOnly="1" grandRow="1" outline="0" axis="axisRow" fieldPosition="0">
        <references count="1">
          <reference field="4294967294" count="1" selected="0">
            <x v="15"/>
          </reference>
        </references>
      </pivotArea>
    </format>
    <format dxfId="1218">
      <pivotArea field="0" dataOnly="0" labelOnly="1" grandRow="1" outline="0" axis="axisRow" fieldPosition="0">
        <references count="1">
          <reference field="4294967294" count="1" selected="0">
            <x v="16"/>
          </reference>
        </references>
      </pivotArea>
    </format>
    <format dxfId="1217">
      <pivotArea field="0" dataOnly="0" labelOnly="1" grandRow="1" outline="0" axis="axisRow" fieldPosition="0">
        <references count="1">
          <reference field="4294967294" count="1" selected="0">
            <x v="17"/>
          </reference>
        </references>
      </pivotArea>
    </format>
    <format dxfId="1216">
      <pivotArea field="0" dataOnly="0" labelOnly="1" grandRow="1" outline="0" axis="axisRow" fieldPosition="0">
        <references count="1">
          <reference field="4294967294" count="1" selected="0">
            <x v="18"/>
          </reference>
        </references>
      </pivotArea>
    </format>
    <format dxfId="1215">
      <pivotArea field="0" dataOnly="0" labelOnly="1" grandRow="1" outline="0" axis="axisRow" fieldPosition="0">
        <references count="1">
          <reference field="4294967294" count="1" selected="0">
            <x v="19"/>
          </reference>
        </references>
      </pivotArea>
    </format>
    <format dxfId="1214">
      <pivotArea field="0" dataOnly="0" labelOnly="1" grandRow="1" outline="0" axis="axisRow" fieldPosition="0">
        <references count="1">
          <reference field="4294967294" count="1" selected="0">
            <x v="20"/>
          </reference>
        </references>
      </pivotArea>
    </format>
    <format dxfId="1213">
      <pivotArea field="0" dataOnly="0" labelOnly="1" grandRow="1" outline="0" axis="axisRow" fieldPosition="0">
        <references count="1">
          <reference field="4294967294" count="1" selected="0">
            <x v="21"/>
          </reference>
        </references>
      </pivotArea>
    </format>
    <format dxfId="1212">
      <pivotArea field="0" dataOnly="0" labelOnly="1" grandRow="1" outline="0" axis="axisRow" fieldPosition="0">
        <references count="1">
          <reference field="4294967294" count="1" selected="0">
            <x v="22"/>
          </reference>
        </references>
      </pivotArea>
    </format>
    <format dxfId="1211">
      <pivotArea field="0" dataOnly="0" labelOnly="1" grandRow="1" outline="0" axis="axisRow" fieldPosition="0">
        <references count="1">
          <reference field="4294967294" count="1" selected="0">
            <x v="23"/>
          </reference>
        </references>
      </pivotArea>
    </format>
    <format dxfId="1210">
      <pivotArea field="0" dataOnly="0" labelOnly="1" grandRow="1" outline="0" axis="axisRow" fieldPosition="0">
        <references count="1">
          <reference field="4294967294" count="1" selected="0">
            <x v="24"/>
          </reference>
        </references>
      </pivotArea>
    </format>
    <format dxfId="1209">
      <pivotArea field="0" dataOnly="0" labelOnly="1" grandRow="1" outline="0" axis="axisRow" fieldPosition="0">
        <references count="1">
          <reference field="4294967294" count="1" selected="0">
            <x v="25"/>
          </reference>
        </references>
      </pivotArea>
    </format>
    <format dxfId="1208">
      <pivotArea field="0" dataOnly="0" labelOnly="1" grandRow="1" outline="0" axis="axisRow" fieldPosition="0">
        <references count="1">
          <reference field="4294967294" count="1" selected="0">
            <x v="26"/>
          </reference>
        </references>
      </pivotArea>
    </format>
    <format dxfId="1207">
      <pivotArea field="0" dataOnly="0" labelOnly="1" grandRow="1" outline="0" axis="axisRow" fieldPosition="0">
        <references count="1">
          <reference field="4294967294" count="1" selected="0">
            <x v="27"/>
          </reference>
        </references>
      </pivotArea>
    </format>
    <format dxfId="1206">
      <pivotArea field="0" dataOnly="0" labelOnly="1" grandRow="1" outline="0" axis="axisRow" fieldPosition="0">
        <references count="1">
          <reference field="4294967294" count="1" selected="0">
            <x v="28"/>
          </reference>
        </references>
      </pivotArea>
    </format>
    <format dxfId="1205">
      <pivotArea field="0" dataOnly="0" labelOnly="1" grandRow="1" outline="0" axis="axisRow" fieldPosition="0">
        <references count="1">
          <reference field="4294967294" count="1" selected="0">
            <x v="29"/>
          </reference>
        </references>
      </pivotArea>
    </format>
    <format dxfId="1204">
      <pivotArea field="0" dataOnly="0" labelOnly="1" grandRow="1" outline="0" axis="axisRow" fieldPosition="0">
        <references count="1">
          <reference field="4294967294" count="1" selected="0">
            <x v="30"/>
          </reference>
        </references>
      </pivotArea>
    </format>
    <format dxfId="1203">
      <pivotArea field="0" dataOnly="0" labelOnly="1" grandRow="1" outline="0" axis="axisRow" fieldPosition="0">
        <references count="1">
          <reference field="4294967294" count="1" selected="0">
            <x v="31"/>
          </reference>
        </references>
      </pivotArea>
    </format>
    <format dxfId="1202">
      <pivotArea field="0" dataOnly="0" labelOnly="1" grandRow="1" outline="0" axis="axisRow" fieldPosition="0">
        <references count="1">
          <reference field="4294967294" count="1" selected="0">
            <x v="32"/>
          </reference>
        </references>
      </pivotArea>
    </format>
    <format dxfId="1201">
      <pivotArea field="0" dataOnly="0" labelOnly="1" grandRow="1" outline="0" axis="axisRow" fieldPosition="0">
        <references count="1">
          <reference field="4294967294" count="1" selected="0">
            <x v="33"/>
          </reference>
        </references>
      </pivotArea>
    </format>
    <format dxfId="1200">
      <pivotArea field="0" dataOnly="0" labelOnly="1" grandRow="1" outline="0" axis="axisRow" fieldPosition="0">
        <references count="1">
          <reference field="4294967294" count="1" selected="0">
            <x v="34"/>
          </reference>
        </references>
      </pivotArea>
    </format>
    <format dxfId="1199">
      <pivotArea field="0" dataOnly="0" labelOnly="1" grandRow="1" outline="0" axis="axisRow" fieldPosition="0">
        <references count="1">
          <reference field="4294967294" count="1" selected="0">
            <x v="35"/>
          </reference>
        </references>
      </pivotArea>
    </format>
    <format dxfId="1198">
      <pivotArea field="0" dataOnly="0" labelOnly="1" grandRow="1" outline="0" axis="axisRow" fieldPosition="0">
        <references count="1">
          <reference field="4294967294" count="1" selected="0">
            <x v="0"/>
          </reference>
        </references>
      </pivotArea>
    </format>
    <format dxfId="1197">
      <pivotArea field="0" dataOnly="0" labelOnly="1" grandRow="1" outline="0" axis="axisRow" fieldPosition="0">
        <references count="1">
          <reference field="4294967294" count="1" selected="0">
            <x v="1"/>
          </reference>
        </references>
      </pivotArea>
    </format>
    <format dxfId="1196">
      <pivotArea field="0" dataOnly="0" labelOnly="1" grandRow="1" outline="0" axis="axisRow" fieldPosition="0">
        <references count="1">
          <reference field="4294967294" count="1" selected="0">
            <x v="2"/>
          </reference>
        </references>
      </pivotArea>
    </format>
    <format dxfId="1195">
      <pivotArea field="0" dataOnly="0" labelOnly="1" grandRow="1" outline="0" axis="axisRow" fieldPosition="0">
        <references count="1">
          <reference field="4294967294" count="1" selected="0">
            <x v="3"/>
          </reference>
        </references>
      </pivotArea>
    </format>
    <format dxfId="1194">
      <pivotArea field="0" dataOnly="0" labelOnly="1" grandRow="1" outline="0" axis="axisRow" fieldPosition="0">
        <references count="1">
          <reference field="4294967294" count="1" selected="0">
            <x v="4"/>
          </reference>
        </references>
      </pivotArea>
    </format>
    <format dxfId="1193">
      <pivotArea field="0" dataOnly="0" labelOnly="1" grandRow="1" outline="0" axis="axisRow" fieldPosition="0">
        <references count="1">
          <reference field="4294967294" count="1" selected="0">
            <x v="5"/>
          </reference>
        </references>
      </pivotArea>
    </format>
    <format dxfId="1192">
      <pivotArea field="0" dataOnly="0" labelOnly="1" grandRow="1" outline="0" axis="axisRow" fieldPosition="0">
        <references count="1">
          <reference field="4294967294" count="1" selected="0">
            <x v="6"/>
          </reference>
        </references>
      </pivotArea>
    </format>
    <format dxfId="1191">
      <pivotArea field="0" dataOnly="0" labelOnly="1" grandRow="1" outline="0" axis="axisRow" fieldPosition="0">
        <references count="1">
          <reference field="4294967294" count="1" selected="0">
            <x v="7"/>
          </reference>
        </references>
      </pivotArea>
    </format>
    <format dxfId="1190">
      <pivotArea field="0" dataOnly="0" labelOnly="1" grandRow="1" outline="0" axis="axisRow" fieldPosition="0">
        <references count="1">
          <reference field="4294967294" count="1" selected="0">
            <x v="8"/>
          </reference>
        </references>
      </pivotArea>
    </format>
    <format dxfId="1189">
      <pivotArea field="0" dataOnly="0" labelOnly="1" grandRow="1" outline="0" axis="axisRow" fieldPosition="0">
        <references count="1">
          <reference field="4294967294" count="1" selected="0">
            <x v="9"/>
          </reference>
        </references>
      </pivotArea>
    </format>
    <format dxfId="1188">
      <pivotArea field="0" dataOnly="0" labelOnly="1" grandRow="1" outline="0" axis="axisRow" fieldPosition="0">
        <references count="1">
          <reference field="4294967294" count="1" selected="0">
            <x v="10"/>
          </reference>
        </references>
      </pivotArea>
    </format>
    <format dxfId="1187">
      <pivotArea field="0" dataOnly="0" labelOnly="1" grandRow="1" outline="0" axis="axisRow" fieldPosition="0">
        <references count="1">
          <reference field="4294967294" count="1" selected="0">
            <x v="11"/>
          </reference>
        </references>
      </pivotArea>
    </format>
    <format dxfId="1186">
      <pivotArea field="0" dataOnly="0" labelOnly="1" grandRow="1" outline="0" axis="axisRow" fieldPosition="0">
        <references count="1">
          <reference field="4294967294" count="1" selected="0">
            <x v="12"/>
          </reference>
        </references>
      </pivotArea>
    </format>
    <format dxfId="1185">
      <pivotArea field="0" dataOnly="0" labelOnly="1" grandRow="1" outline="0" axis="axisRow" fieldPosition="0">
        <references count="1">
          <reference field="4294967294" count="1" selected="0">
            <x v="13"/>
          </reference>
        </references>
      </pivotArea>
    </format>
    <format dxfId="1184">
      <pivotArea field="0" dataOnly="0" labelOnly="1" grandRow="1" outline="0" axis="axisRow" fieldPosition="0">
        <references count="1">
          <reference field="4294967294" count="1" selected="0">
            <x v="14"/>
          </reference>
        </references>
      </pivotArea>
    </format>
    <format dxfId="1183">
      <pivotArea field="0" dataOnly="0" labelOnly="1" grandRow="1" outline="0" axis="axisRow" fieldPosition="0">
        <references count="1">
          <reference field="4294967294" count="1" selected="0">
            <x v="15"/>
          </reference>
        </references>
      </pivotArea>
    </format>
    <format dxfId="1182">
      <pivotArea field="0" dataOnly="0" labelOnly="1" grandRow="1" outline="0" axis="axisRow" fieldPosition="0">
        <references count="1">
          <reference field="4294967294" count="1" selected="0">
            <x v="16"/>
          </reference>
        </references>
      </pivotArea>
    </format>
    <format dxfId="1181">
      <pivotArea field="0" dataOnly="0" labelOnly="1" grandRow="1" outline="0" axis="axisRow" fieldPosition="0">
        <references count="1">
          <reference field="4294967294" count="1" selected="0">
            <x v="17"/>
          </reference>
        </references>
      </pivotArea>
    </format>
    <format dxfId="1180">
      <pivotArea field="0" dataOnly="0" labelOnly="1" grandRow="1" outline="0" axis="axisRow" fieldPosition="0">
        <references count="1">
          <reference field="4294967294" count="1" selected="0">
            <x v="18"/>
          </reference>
        </references>
      </pivotArea>
    </format>
    <format dxfId="1179">
      <pivotArea field="0" dataOnly="0" labelOnly="1" grandRow="1" outline="0" axis="axisRow" fieldPosition="0">
        <references count="1">
          <reference field="4294967294" count="1" selected="0">
            <x v="19"/>
          </reference>
        </references>
      </pivotArea>
    </format>
    <format dxfId="1178">
      <pivotArea field="0" dataOnly="0" labelOnly="1" grandRow="1" outline="0" axis="axisRow" fieldPosition="0">
        <references count="1">
          <reference field="4294967294" count="1" selected="0">
            <x v="20"/>
          </reference>
        </references>
      </pivotArea>
    </format>
    <format dxfId="1177">
      <pivotArea field="0" dataOnly="0" labelOnly="1" grandRow="1" outline="0" axis="axisRow" fieldPosition="0">
        <references count="1">
          <reference field="4294967294" count="1" selected="0">
            <x v="21"/>
          </reference>
        </references>
      </pivotArea>
    </format>
    <format dxfId="1176">
      <pivotArea field="0" dataOnly="0" labelOnly="1" grandRow="1" outline="0" axis="axisRow" fieldPosition="0">
        <references count="1">
          <reference field="4294967294" count="1" selected="0">
            <x v="22"/>
          </reference>
        </references>
      </pivotArea>
    </format>
    <format dxfId="1175">
      <pivotArea field="0" dataOnly="0" labelOnly="1" grandRow="1" outline="0" axis="axisRow" fieldPosition="0">
        <references count="1">
          <reference field="4294967294" count="1" selected="0">
            <x v="23"/>
          </reference>
        </references>
      </pivotArea>
    </format>
    <format dxfId="1174">
      <pivotArea field="0" dataOnly="0" labelOnly="1" grandRow="1" outline="0" axis="axisRow" fieldPosition="0">
        <references count="1">
          <reference field="4294967294" count="1" selected="0">
            <x v="24"/>
          </reference>
        </references>
      </pivotArea>
    </format>
    <format dxfId="1173">
      <pivotArea field="0" dataOnly="0" labelOnly="1" grandRow="1" outline="0" axis="axisRow" fieldPosition="0">
        <references count="1">
          <reference field="4294967294" count="1" selected="0">
            <x v="25"/>
          </reference>
        </references>
      </pivotArea>
    </format>
    <format dxfId="1172">
      <pivotArea field="0" dataOnly="0" labelOnly="1" grandRow="1" outline="0" axis="axisRow" fieldPosition="0">
        <references count="1">
          <reference field="4294967294" count="1" selected="0">
            <x v="26"/>
          </reference>
        </references>
      </pivotArea>
    </format>
    <format dxfId="1171">
      <pivotArea field="0" dataOnly="0" labelOnly="1" grandRow="1" outline="0" axis="axisRow" fieldPosition="0">
        <references count="1">
          <reference field="4294967294" count="1" selected="0">
            <x v="27"/>
          </reference>
        </references>
      </pivotArea>
    </format>
    <format dxfId="1170">
      <pivotArea field="0" dataOnly="0" labelOnly="1" grandRow="1" outline="0" axis="axisRow" fieldPosition="0">
        <references count="1">
          <reference field="4294967294" count="1" selected="0">
            <x v="28"/>
          </reference>
        </references>
      </pivotArea>
    </format>
    <format dxfId="1169">
      <pivotArea field="0" dataOnly="0" labelOnly="1" grandRow="1" outline="0" axis="axisRow" fieldPosition="0">
        <references count="1">
          <reference field="4294967294" count="1" selected="0">
            <x v="29"/>
          </reference>
        </references>
      </pivotArea>
    </format>
    <format dxfId="1168">
      <pivotArea field="0" dataOnly="0" labelOnly="1" grandRow="1" outline="0" axis="axisRow" fieldPosition="0">
        <references count="1">
          <reference field="4294967294" count="1" selected="0">
            <x v="30"/>
          </reference>
        </references>
      </pivotArea>
    </format>
    <format dxfId="1167">
      <pivotArea field="0" dataOnly="0" labelOnly="1" grandRow="1" outline="0" axis="axisRow" fieldPosition="0">
        <references count="1">
          <reference field="4294967294" count="1" selected="0">
            <x v="31"/>
          </reference>
        </references>
      </pivotArea>
    </format>
    <format dxfId="1166">
      <pivotArea field="0" dataOnly="0" labelOnly="1" grandRow="1" outline="0" axis="axisRow" fieldPosition="0">
        <references count="1">
          <reference field="4294967294" count="1" selected="0">
            <x v="32"/>
          </reference>
        </references>
      </pivotArea>
    </format>
    <format dxfId="1165">
      <pivotArea field="0" dataOnly="0" labelOnly="1" grandRow="1" outline="0" axis="axisRow" fieldPosition="0">
        <references count="1">
          <reference field="4294967294" count="1" selected="0">
            <x v="33"/>
          </reference>
        </references>
      </pivotArea>
    </format>
    <format dxfId="1164">
      <pivotArea field="0" dataOnly="0" labelOnly="1" grandRow="1" outline="0" axis="axisRow" fieldPosition="0">
        <references count="1">
          <reference field="4294967294" count="1" selected="0">
            <x v="34"/>
          </reference>
        </references>
      </pivotArea>
    </format>
    <format dxfId="1163">
      <pivotArea field="0" dataOnly="0" labelOnly="1" grandRow="1" outline="0" axis="axisRow" fieldPosition="0">
        <references count="1">
          <reference field="4294967294" count="1" selected="0">
            <x v="35"/>
          </reference>
        </references>
      </pivotArea>
    </format>
    <format dxfId="1162">
      <pivotArea field="0" dataOnly="0" labelOnly="1" grandRow="1" outline="0" axis="axisRow" fieldPosition="0">
        <references count="1">
          <reference field="4294967294" count="1" selected="0">
            <x v="0"/>
          </reference>
        </references>
      </pivotArea>
    </format>
    <format dxfId="1161">
      <pivotArea field="0" dataOnly="0" labelOnly="1" grandRow="1" outline="0" axis="axisRow" fieldPosition="0">
        <references count="1">
          <reference field="4294967294" count="1" selected="0">
            <x v="1"/>
          </reference>
        </references>
      </pivotArea>
    </format>
    <format dxfId="1160">
      <pivotArea field="0" dataOnly="0" labelOnly="1" grandRow="1" outline="0" axis="axisRow" fieldPosition="0">
        <references count="1">
          <reference field="4294967294" count="1" selected="0">
            <x v="2"/>
          </reference>
        </references>
      </pivotArea>
    </format>
    <format dxfId="1159">
      <pivotArea field="0" dataOnly="0" labelOnly="1" grandRow="1" outline="0" axis="axisRow" fieldPosition="0">
        <references count="1">
          <reference field="4294967294" count="1" selected="0">
            <x v="3"/>
          </reference>
        </references>
      </pivotArea>
    </format>
    <format dxfId="1158">
      <pivotArea field="0" dataOnly="0" labelOnly="1" grandRow="1" outline="0" axis="axisRow" fieldPosition="0">
        <references count="1">
          <reference field="4294967294" count="1" selected="0">
            <x v="4"/>
          </reference>
        </references>
      </pivotArea>
    </format>
    <format dxfId="1157">
      <pivotArea field="0" dataOnly="0" labelOnly="1" grandRow="1" outline="0" axis="axisRow" fieldPosition="0">
        <references count="1">
          <reference field="4294967294" count="1" selected="0">
            <x v="5"/>
          </reference>
        </references>
      </pivotArea>
    </format>
    <format dxfId="1156">
      <pivotArea field="0" dataOnly="0" labelOnly="1" grandRow="1" outline="0" axis="axisRow" fieldPosition="0">
        <references count="1">
          <reference field="4294967294" count="1" selected="0">
            <x v="6"/>
          </reference>
        </references>
      </pivotArea>
    </format>
    <format dxfId="1155">
      <pivotArea field="0" dataOnly="0" labelOnly="1" grandRow="1" outline="0" axis="axisRow" fieldPosition="0">
        <references count="1">
          <reference field="4294967294" count="1" selected="0">
            <x v="7"/>
          </reference>
        </references>
      </pivotArea>
    </format>
    <format dxfId="1154">
      <pivotArea field="0" dataOnly="0" labelOnly="1" grandRow="1" outline="0" axis="axisRow" fieldPosition="0">
        <references count="1">
          <reference field="4294967294" count="1" selected="0">
            <x v="8"/>
          </reference>
        </references>
      </pivotArea>
    </format>
    <format dxfId="1153">
      <pivotArea field="0" dataOnly="0" labelOnly="1" grandRow="1" outline="0" axis="axisRow" fieldPosition="0">
        <references count="1">
          <reference field="4294967294" count="1" selected="0">
            <x v="9"/>
          </reference>
        </references>
      </pivotArea>
    </format>
    <format dxfId="1152">
      <pivotArea field="0" dataOnly="0" labelOnly="1" grandRow="1" outline="0" axis="axisRow" fieldPosition="0">
        <references count="1">
          <reference field="4294967294" count="1" selected="0">
            <x v="10"/>
          </reference>
        </references>
      </pivotArea>
    </format>
    <format dxfId="1151">
      <pivotArea field="0" dataOnly="0" labelOnly="1" grandRow="1" outline="0" axis="axisRow" fieldPosition="0">
        <references count="1">
          <reference field="4294967294" count="1" selected="0">
            <x v="11"/>
          </reference>
        </references>
      </pivotArea>
    </format>
    <format dxfId="1150">
      <pivotArea field="0" dataOnly="0" labelOnly="1" grandRow="1" outline="0" axis="axisRow" fieldPosition="0">
        <references count="1">
          <reference field="4294967294" count="1" selected="0">
            <x v="12"/>
          </reference>
        </references>
      </pivotArea>
    </format>
    <format dxfId="1149">
      <pivotArea field="0" dataOnly="0" labelOnly="1" grandRow="1" outline="0" axis="axisRow" fieldPosition="0">
        <references count="1">
          <reference field="4294967294" count="1" selected="0">
            <x v="13"/>
          </reference>
        </references>
      </pivotArea>
    </format>
    <format dxfId="1148">
      <pivotArea field="0" dataOnly="0" labelOnly="1" grandRow="1" outline="0" axis="axisRow" fieldPosition="0">
        <references count="1">
          <reference field="4294967294" count="1" selected="0">
            <x v="14"/>
          </reference>
        </references>
      </pivotArea>
    </format>
    <format dxfId="1147">
      <pivotArea field="0" dataOnly="0" labelOnly="1" grandRow="1" outline="0" axis="axisRow" fieldPosition="0">
        <references count="1">
          <reference field="4294967294" count="1" selected="0">
            <x v="15"/>
          </reference>
        </references>
      </pivotArea>
    </format>
    <format dxfId="1146">
      <pivotArea field="0" dataOnly="0" labelOnly="1" grandRow="1" outline="0" axis="axisRow" fieldPosition="0">
        <references count="1">
          <reference field="4294967294" count="1" selected="0">
            <x v="16"/>
          </reference>
        </references>
      </pivotArea>
    </format>
    <format dxfId="1145">
      <pivotArea field="0" dataOnly="0" labelOnly="1" grandRow="1" outline="0" axis="axisRow" fieldPosition="0">
        <references count="1">
          <reference field="4294967294" count="1" selected="0">
            <x v="17"/>
          </reference>
        </references>
      </pivotArea>
    </format>
    <format dxfId="1144">
      <pivotArea field="0" dataOnly="0" labelOnly="1" grandRow="1" outline="0" axis="axisRow" fieldPosition="0">
        <references count="1">
          <reference field="4294967294" count="1" selected="0">
            <x v="18"/>
          </reference>
        </references>
      </pivotArea>
    </format>
    <format dxfId="1143">
      <pivotArea field="0" dataOnly="0" labelOnly="1" grandRow="1" outline="0" axis="axisRow" fieldPosition="0">
        <references count="1">
          <reference field="4294967294" count="1" selected="0">
            <x v="19"/>
          </reference>
        </references>
      </pivotArea>
    </format>
    <format dxfId="1142">
      <pivotArea field="0" dataOnly="0" labelOnly="1" grandRow="1" outline="0" axis="axisRow" fieldPosition="0">
        <references count="1">
          <reference field="4294967294" count="1" selected="0">
            <x v="20"/>
          </reference>
        </references>
      </pivotArea>
    </format>
    <format dxfId="1141">
      <pivotArea field="0" dataOnly="0" labelOnly="1" grandRow="1" outline="0" axis="axisRow" fieldPosition="0">
        <references count="1">
          <reference field="4294967294" count="1" selected="0">
            <x v="21"/>
          </reference>
        </references>
      </pivotArea>
    </format>
    <format dxfId="1140">
      <pivotArea field="0" dataOnly="0" labelOnly="1" grandRow="1" outline="0" axis="axisRow" fieldPosition="0">
        <references count="1">
          <reference field="4294967294" count="1" selected="0">
            <x v="22"/>
          </reference>
        </references>
      </pivotArea>
    </format>
    <format dxfId="1139">
      <pivotArea field="0" dataOnly="0" labelOnly="1" grandRow="1" outline="0" axis="axisRow" fieldPosition="0">
        <references count="1">
          <reference field="4294967294" count="1" selected="0">
            <x v="23"/>
          </reference>
        </references>
      </pivotArea>
    </format>
    <format dxfId="1138">
      <pivotArea field="0" dataOnly="0" labelOnly="1" grandRow="1" outline="0" axis="axisRow" fieldPosition="0">
        <references count="1">
          <reference field="4294967294" count="1" selected="0">
            <x v="24"/>
          </reference>
        </references>
      </pivotArea>
    </format>
    <format dxfId="1137">
      <pivotArea field="0" dataOnly="0" labelOnly="1" grandRow="1" outline="0" axis="axisRow" fieldPosition="0">
        <references count="1">
          <reference field="4294967294" count="1" selected="0">
            <x v="25"/>
          </reference>
        </references>
      </pivotArea>
    </format>
    <format dxfId="1136">
      <pivotArea field="0" dataOnly="0" labelOnly="1" grandRow="1" outline="0" axis="axisRow" fieldPosition="0">
        <references count="1">
          <reference field="4294967294" count="1" selected="0">
            <x v="26"/>
          </reference>
        </references>
      </pivotArea>
    </format>
    <format dxfId="1135">
      <pivotArea field="0" dataOnly="0" labelOnly="1" grandRow="1" outline="0" axis="axisRow" fieldPosition="0">
        <references count="1">
          <reference field="4294967294" count="1" selected="0">
            <x v="27"/>
          </reference>
        </references>
      </pivotArea>
    </format>
    <format dxfId="1134">
      <pivotArea field="0" dataOnly="0" labelOnly="1" grandRow="1" outline="0" axis="axisRow" fieldPosition="0">
        <references count="1">
          <reference field="4294967294" count="1" selected="0">
            <x v="28"/>
          </reference>
        </references>
      </pivotArea>
    </format>
    <format dxfId="1133">
      <pivotArea field="0" dataOnly="0" labelOnly="1" grandRow="1" outline="0" axis="axisRow" fieldPosition="0">
        <references count="1">
          <reference field="4294967294" count="1" selected="0">
            <x v="29"/>
          </reference>
        </references>
      </pivotArea>
    </format>
    <format dxfId="1132">
      <pivotArea field="0" dataOnly="0" labelOnly="1" grandRow="1" outline="0" axis="axisRow" fieldPosition="0">
        <references count="1">
          <reference field="4294967294" count="1" selected="0">
            <x v="30"/>
          </reference>
        </references>
      </pivotArea>
    </format>
    <format dxfId="1131">
      <pivotArea field="0" dataOnly="0" labelOnly="1" grandRow="1" outline="0" axis="axisRow" fieldPosition="0">
        <references count="1">
          <reference field="4294967294" count="1" selected="0">
            <x v="31"/>
          </reference>
        </references>
      </pivotArea>
    </format>
    <format dxfId="1130">
      <pivotArea field="0" dataOnly="0" labelOnly="1" grandRow="1" outline="0" axis="axisRow" fieldPosition="0">
        <references count="1">
          <reference field="4294967294" count="1" selected="0">
            <x v="32"/>
          </reference>
        </references>
      </pivotArea>
    </format>
    <format dxfId="1129">
      <pivotArea field="0" dataOnly="0" labelOnly="1" grandRow="1" outline="0" axis="axisRow" fieldPosition="0">
        <references count="1">
          <reference field="4294967294" count="1" selected="0">
            <x v="33"/>
          </reference>
        </references>
      </pivotArea>
    </format>
    <format dxfId="1128">
      <pivotArea field="0" dataOnly="0" labelOnly="1" grandRow="1" outline="0" axis="axisRow" fieldPosition="0">
        <references count="1">
          <reference field="4294967294" count="1" selected="0">
            <x v="34"/>
          </reference>
        </references>
      </pivotArea>
    </format>
    <format dxfId="1127">
      <pivotArea field="0" dataOnly="0" labelOnly="1" grandRow="1" outline="0" axis="axisRow" fieldPosition="0">
        <references count="1">
          <reference field="4294967294" count="1" selected="0">
            <x v="35"/>
          </reference>
        </references>
      </pivotArea>
    </format>
    <format dxfId="1126">
      <pivotArea field="0" dataOnly="0" labelOnly="1" grandRow="1" outline="0" axis="axisRow" fieldPosition="0">
        <references count="1">
          <reference field="4294967294" count="1" selected="0">
            <x v="0"/>
          </reference>
        </references>
      </pivotArea>
    </format>
    <format dxfId="1125">
      <pivotArea field="0" dataOnly="0" labelOnly="1" grandRow="1" outline="0" axis="axisRow" fieldPosition="0">
        <references count="1">
          <reference field="4294967294" count="1" selected="0">
            <x v="1"/>
          </reference>
        </references>
      </pivotArea>
    </format>
    <format dxfId="1124">
      <pivotArea field="0" dataOnly="0" labelOnly="1" grandRow="1" outline="0" axis="axisRow" fieldPosition="0">
        <references count="1">
          <reference field="4294967294" count="1" selected="0">
            <x v="2"/>
          </reference>
        </references>
      </pivotArea>
    </format>
    <format dxfId="1123">
      <pivotArea field="0" dataOnly="0" labelOnly="1" grandRow="1" outline="0" axis="axisRow" fieldPosition="0">
        <references count="1">
          <reference field="4294967294" count="1" selected="0">
            <x v="3"/>
          </reference>
        </references>
      </pivotArea>
    </format>
    <format dxfId="1122">
      <pivotArea field="0" dataOnly="0" labelOnly="1" grandRow="1" outline="0" axis="axisRow" fieldPosition="0">
        <references count="1">
          <reference field="4294967294" count="1" selected="0">
            <x v="4"/>
          </reference>
        </references>
      </pivotArea>
    </format>
    <format dxfId="1121">
      <pivotArea field="0" dataOnly="0" labelOnly="1" grandRow="1" outline="0" axis="axisRow" fieldPosition="0">
        <references count="1">
          <reference field="4294967294" count="1" selected="0">
            <x v="5"/>
          </reference>
        </references>
      </pivotArea>
    </format>
    <format dxfId="1120">
      <pivotArea field="0" dataOnly="0" labelOnly="1" grandRow="1" outline="0" axis="axisRow" fieldPosition="0">
        <references count="1">
          <reference field="4294967294" count="1" selected="0">
            <x v="6"/>
          </reference>
        </references>
      </pivotArea>
    </format>
    <format dxfId="1119">
      <pivotArea field="0" dataOnly="0" labelOnly="1" grandRow="1" outline="0" axis="axisRow" fieldPosition="0">
        <references count="1">
          <reference field="4294967294" count="1" selected="0">
            <x v="7"/>
          </reference>
        </references>
      </pivotArea>
    </format>
    <format dxfId="1118">
      <pivotArea field="0" dataOnly="0" labelOnly="1" grandRow="1" outline="0" axis="axisRow" fieldPosition="0">
        <references count="1">
          <reference field="4294967294" count="1" selected="0">
            <x v="8"/>
          </reference>
        </references>
      </pivotArea>
    </format>
    <format dxfId="1117">
      <pivotArea field="0" dataOnly="0" labelOnly="1" grandRow="1" outline="0" axis="axisRow" fieldPosition="0">
        <references count="1">
          <reference field="4294967294" count="1" selected="0">
            <x v="9"/>
          </reference>
        </references>
      </pivotArea>
    </format>
    <format dxfId="1116">
      <pivotArea field="0" dataOnly="0" labelOnly="1" grandRow="1" outline="0" axis="axisRow" fieldPosition="0">
        <references count="1">
          <reference field="4294967294" count="1" selected="0">
            <x v="10"/>
          </reference>
        </references>
      </pivotArea>
    </format>
    <format dxfId="1115">
      <pivotArea field="0" dataOnly="0" labelOnly="1" grandRow="1" outline="0" axis="axisRow" fieldPosition="0">
        <references count="1">
          <reference field="4294967294" count="1" selected="0">
            <x v="11"/>
          </reference>
        </references>
      </pivotArea>
    </format>
    <format dxfId="1114">
      <pivotArea field="0" dataOnly="0" labelOnly="1" grandRow="1" outline="0" axis="axisRow" fieldPosition="0">
        <references count="1">
          <reference field="4294967294" count="1" selected="0">
            <x v="12"/>
          </reference>
        </references>
      </pivotArea>
    </format>
    <format dxfId="1113">
      <pivotArea field="0" dataOnly="0" labelOnly="1" grandRow="1" outline="0" axis="axisRow" fieldPosition="0">
        <references count="1">
          <reference field="4294967294" count="1" selected="0">
            <x v="13"/>
          </reference>
        </references>
      </pivotArea>
    </format>
    <format dxfId="1112">
      <pivotArea field="0" dataOnly="0" labelOnly="1" grandRow="1" outline="0" axis="axisRow" fieldPosition="0">
        <references count="1">
          <reference field="4294967294" count="1" selected="0">
            <x v="14"/>
          </reference>
        </references>
      </pivotArea>
    </format>
    <format dxfId="1111">
      <pivotArea field="0" dataOnly="0" labelOnly="1" grandRow="1" outline="0" axis="axisRow" fieldPosition="0">
        <references count="1">
          <reference field="4294967294" count="1" selected="0">
            <x v="15"/>
          </reference>
        </references>
      </pivotArea>
    </format>
    <format dxfId="1110">
      <pivotArea field="0" dataOnly="0" labelOnly="1" grandRow="1" outline="0" axis="axisRow" fieldPosition="0">
        <references count="1">
          <reference field="4294967294" count="1" selected="0">
            <x v="16"/>
          </reference>
        </references>
      </pivotArea>
    </format>
    <format dxfId="1109">
      <pivotArea field="0" dataOnly="0" labelOnly="1" grandRow="1" outline="0" axis="axisRow" fieldPosition="0">
        <references count="1">
          <reference field="4294967294" count="1" selected="0">
            <x v="17"/>
          </reference>
        </references>
      </pivotArea>
    </format>
    <format dxfId="1108">
      <pivotArea field="0" dataOnly="0" labelOnly="1" grandRow="1" outline="0" axis="axisRow" fieldPosition="0">
        <references count="1">
          <reference field="4294967294" count="1" selected="0">
            <x v="18"/>
          </reference>
        </references>
      </pivotArea>
    </format>
    <format dxfId="1107">
      <pivotArea field="0" dataOnly="0" labelOnly="1" grandRow="1" outline="0" axis="axisRow" fieldPosition="0">
        <references count="1">
          <reference field="4294967294" count="1" selected="0">
            <x v="19"/>
          </reference>
        </references>
      </pivotArea>
    </format>
    <format dxfId="1106">
      <pivotArea field="0" dataOnly="0" labelOnly="1" grandRow="1" outline="0" axis="axisRow" fieldPosition="0">
        <references count="1">
          <reference field="4294967294" count="1" selected="0">
            <x v="20"/>
          </reference>
        </references>
      </pivotArea>
    </format>
    <format dxfId="1105">
      <pivotArea field="0" dataOnly="0" labelOnly="1" grandRow="1" outline="0" axis="axisRow" fieldPosition="0">
        <references count="1">
          <reference field="4294967294" count="1" selected="0">
            <x v="21"/>
          </reference>
        </references>
      </pivotArea>
    </format>
    <format dxfId="1104">
      <pivotArea field="0" dataOnly="0" labelOnly="1" grandRow="1" outline="0" axis="axisRow" fieldPosition="0">
        <references count="1">
          <reference field="4294967294" count="1" selected="0">
            <x v="22"/>
          </reference>
        </references>
      </pivotArea>
    </format>
    <format dxfId="1103">
      <pivotArea field="0" dataOnly="0" labelOnly="1" grandRow="1" outline="0" axis="axisRow" fieldPosition="0">
        <references count="1">
          <reference field="4294967294" count="1" selected="0">
            <x v="23"/>
          </reference>
        </references>
      </pivotArea>
    </format>
    <format dxfId="1102">
      <pivotArea field="0" dataOnly="0" labelOnly="1" grandRow="1" outline="0" axis="axisRow" fieldPosition="0">
        <references count="1">
          <reference field="4294967294" count="1" selected="0">
            <x v="24"/>
          </reference>
        </references>
      </pivotArea>
    </format>
    <format dxfId="1101">
      <pivotArea field="0" dataOnly="0" labelOnly="1" grandRow="1" outline="0" axis="axisRow" fieldPosition="0">
        <references count="1">
          <reference field="4294967294" count="1" selected="0">
            <x v="25"/>
          </reference>
        </references>
      </pivotArea>
    </format>
    <format dxfId="1100">
      <pivotArea field="0" dataOnly="0" labelOnly="1" grandRow="1" outline="0" axis="axisRow" fieldPosition="0">
        <references count="1">
          <reference field="4294967294" count="1" selected="0">
            <x v="26"/>
          </reference>
        </references>
      </pivotArea>
    </format>
    <format dxfId="1099">
      <pivotArea field="0" dataOnly="0" labelOnly="1" grandRow="1" outline="0" axis="axisRow" fieldPosition="0">
        <references count="1">
          <reference field="4294967294" count="1" selected="0">
            <x v="27"/>
          </reference>
        </references>
      </pivotArea>
    </format>
    <format dxfId="1098">
      <pivotArea field="0" dataOnly="0" labelOnly="1" grandRow="1" outline="0" axis="axisRow" fieldPosition="0">
        <references count="1">
          <reference field="4294967294" count="1" selected="0">
            <x v="28"/>
          </reference>
        </references>
      </pivotArea>
    </format>
    <format dxfId="1097">
      <pivotArea field="0" dataOnly="0" labelOnly="1" grandRow="1" outline="0" axis="axisRow" fieldPosition="0">
        <references count="1">
          <reference field="4294967294" count="1" selected="0">
            <x v="29"/>
          </reference>
        </references>
      </pivotArea>
    </format>
    <format dxfId="1096">
      <pivotArea field="0" dataOnly="0" labelOnly="1" grandRow="1" outline="0" axis="axisRow" fieldPosition="0">
        <references count="1">
          <reference field="4294967294" count="1" selected="0">
            <x v="30"/>
          </reference>
        </references>
      </pivotArea>
    </format>
    <format dxfId="1095">
      <pivotArea field="0" dataOnly="0" labelOnly="1" grandRow="1" outline="0" axis="axisRow" fieldPosition="0">
        <references count="1">
          <reference field="4294967294" count="1" selected="0">
            <x v="31"/>
          </reference>
        </references>
      </pivotArea>
    </format>
    <format dxfId="1094">
      <pivotArea field="0" dataOnly="0" labelOnly="1" grandRow="1" outline="0" axis="axisRow" fieldPosition="0">
        <references count="1">
          <reference field="4294967294" count="1" selected="0">
            <x v="32"/>
          </reference>
        </references>
      </pivotArea>
    </format>
    <format dxfId="1093">
      <pivotArea field="0" dataOnly="0" labelOnly="1" grandRow="1" outline="0" axis="axisRow" fieldPosition="0">
        <references count="1">
          <reference field="4294967294" count="1" selected="0">
            <x v="33"/>
          </reference>
        </references>
      </pivotArea>
    </format>
    <format dxfId="1092">
      <pivotArea field="0" dataOnly="0" labelOnly="1" grandRow="1" outline="0" axis="axisRow" fieldPosition="0">
        <references count="1">
          <reference field="4294967294" count="1" selected="0">
            <x v="34"/>
          </reference>
        </references>
      </pivotArea>
    </format>
    <format dxfId="1091">
      <pivotArea field="0" dataOnly="0" labelOnly="1" grandRow="1" outline="0" axis="axisRow" fieldPosition="0">
        <references count="1">
          <reference field="4294967294" count="1" selected="0">
            <x v="35"/>
          </reference>
        </references>
      </pivotArea>
    </format>
    <format dxfId="1090">
      <pivotArea field="0" dataOnly="0" labelOnly="1" grandRow="1" outline="0" axis="axisRow" fieldPosition="0">
        <references count="1">
          <reference field="4294967294" count="1" selected="0">
            <x v="0"/>
          </reference>
        </references>
      </pivotArea>
    </format>
    <format dxfId="1089">
      <pivotArea field="0" dataOnly="0" labelOnly="1" grandRow="1" outline="0" axis="axisRow" fieldPosition="0">
        <references count="1">
          <reference field="4294967294" count="1" selected="0">
            <x v="1"/>
          </reference>
        </references>
      </pivotArea>
    </format>
    <format dxfId="1088">
      <pivotArea field="0" dataOnly="0" labelOnly="1" grandRow="1" outline="0" axis="axisRow" fieldPosition="0">
        <references count="1">
          <reference field="4294967294" count="1" selected="0">
            <x v="2"/>
          </reference>
        </references>
      </pivotArea>
    </format>
    <format dxfId="1087">
      <pivotArea field="0" dataOnly="0" labelOnly="1" grandRow="1" outline="0" axis="axisRow" fieldPosition="0">
        <references count="1">
          <reference field="4294967294" count="1" selected="0">
            <x v="3"/>
          </reference>
        </references>
      </pivotArea>
    </format>
    <format dxfId="1086">
      <pivotArea field="0" dataOnly="0" labelOnly="1" grandRow="1" outline="0" axis="axisRow" fieldPosition="0">
        <references count="1">
          <reference field="4294967294" count="1" selected="0">
            <x v="4"/>
          </reference>
        </references>
      </pivotArea>
    </format>
    <format dxfId="1085">
      <pivotArea field="0" dataOnly="0" labelOnly="1" grandRow="1" outline="0" axis="axisRow" fieldPosition="0">
        <references count="1">
          <reference field="4294967294" count="1" selected="0">
            <x v="5"/>
          </reference>
        </references>
      </pivotArea>
    </format>
    <format dxfId="1084">
      <pivotArea field="0" dataOnly="0" labelOnly="1" grandRow="1" outline="0" axis="axisRow" fieldPosition="0">
        <references count="1">
          <reference field="4294967294" count="1" selected="0">
            <x v="6"/>
          </reference>
        </references>
      </pivotArea>
    </format>
    <format dxfId="1083">
      <pivotArea field="0" dataOnly="0" labelOnly="1" grandRow="1" outline="0" axis="axisRow" fieldPosition="0">
        <references count="1">
          <reference field="4294967294" count="1" selected="0">
            <x v="7"/>
          </reference>
        </references>
      </pivotArea>
    </format>
    <format dxfId="1082">
      <pivotArea field="0" dataOnly="0" labelOnly="1" grandRow="1" outline="0" axis="axisRow" fieldPosition="0">
        <references count="1">
          <reference field="4294967294" count="1" selected="0">
            <x v="8"/>
          </reference>
        </references>
      </pivotArea>
    </format>
    <format dxfId="1081">
      <pivotArea field="0" dataOnly="0" labelOnly="1" grandRow="1" outline="0" axis="axisRow" fieldPosition="0">
        <references count="1">
          <reference field="4294967294" count="1" selected="0">
            <x v="9"/>
          </reference>
        </references>
      </pivotArea>
    </format>
    <format dxfId="1080">
      <pivotArea field="0" dataOnly="0" labelOnly="1" grandRow="1" outline="0" axis="axisRow" fieldPosition="0">
        <references count="1">
          <reference field="4294967294" count="1" selected="0">
            <x v="10"/>
          </reference>
        </references>
      </pivotArea>
    </format>
    <format dxfId="1079">
      <pivotArea field="0" dataOnly="0" labelOnly="1" grandRow="1" outline="0" axis="axisRow" fieldPosition="0">
        <references count="1">
          <reference field="4294967294" count="1" selected="0">
            <x v="11"/>
          </reference>
        </references>
      </pivotArea>
    </format>
    <format dxfId="1078">
      <pivotArea field="0" dataOnly="0" labelOnly="1" grandRow="1" outline="0" axis="axisRow" fieldPosition="0">
        <references count="1">
          <reference field="4294967294" count="1" selected="0">
            <x v="12"/>
          </reference>
        </references>
      </pivotArea>
    </format>
    <format dxfId="1077">
      <pivotArea field="0" dataOnly="0" labelOnly="1" grandRow="1" outline="0" axis="axisRow" fieldPosition="0">
        <references count="1">
          <reference field="4294967294" count="1" selected="0">
            <x v="13"/>
          </reference>
        </references>
      </pivotArea>
    </format>
    <format dxfId="1076">
      <pivotArea field="0" dataOnly="0" labelOnly="1" grandRow="1" outline="0" axis="axisRow" fieldPosition="0">
        <references count="1">
          <reference field="4294967294" count="1" selected="0">
            <x v="14"/>
          </reference>
        </references>
      </pivotArea>
    </format>
    <format dxfId="1075">
      <pivotArea field="0" dataOnly="0" labelOnly="1" grandRow="1" outline="0" axis="axisRow" fieldPosition="0">
        <references count="1">
          <reference field="4294967294" count="1" selected="0">
            <x v="15"/>
          </reference>
        </references>
      </pivotArea>
    </format>
    <format dxfId="1074">
      <pivotArea field="0" dataOnly="0" labelOnly="1" grandRow="1" outline="0" axis="axisRow" fieldPosition="0">
        <references count="1">
          <reference field="4294967294" count="1" selected="0">
            <x v="16"/>
          </reference>
        </references>
      </pivotArea>
    </format>
    <format dxfId="1073">
      <pivotArea field="0" dataOnly="0" labelOnly="1" grandRow="1" outline="0" axis="axisRow" fieldPosition="0">
        <references count="1">
          <reference field="4294967294" count="1" selected="0">
            <x v="17"/>
          </reference>
        </references>
      </pivotArea>
    </format>
    <format dxfId="1072">
      <pivotArea field="0" dataOnly="0" labelOnly="1" grandRow="1" outline="0" axis="axisRow" fieldPosition="0">
        <references count="1">
          <reference field="4294967294" count="1" selected="0">
            <x v="18"/>
          </reference>
        </references>
      </pivotArea>
    </format>
    <format dxfId="1071">
      <pivotArea field="0" dataOnly="0" labelOnly="1" grandRow="1" outline="0" axis="axisRow" fieldPosition="0">
        <references count="1">
          <reference field="4294967294" count="1" selected="0">
            <x v="19"/>
          </reference>
        </references>
      </pivotArea>
    </format>
    <format dxfId="1070">
      <pivotArea field="0" dataOnly="0" labelOnly="1" grandRow="1" outline="0" axis="axisRow" fieldPosition="0">
        <references count="1">
          <reference field="4294967294" count="1" selected="0">
            <x v="20"/>
          </reference>
        </references>
      </pivotArea>
    </format>
    <format dxfId="1069">
      <pivotArea field="0" dataOnly="0" labelOnly="1" grandRow="1" outline="0" axis="axisRow" fieldPosition="0">
        <references count="1">
          <reference field="4294967294" count="1" selected="0">
            <x v="21"/>
          </reference>
        </references>
      </pivotArea>
    </format>
    <format dxfId="1068">
      <pivotArea field="0" dataOnly="0" labelOnly="1" grandRow="1" outline="0" axis="axisRow" fieldPosition="0">
        <references count="1">
          <reference field="4294967294" count="1" selected="0">
            <x v="22"/>
          </reference>
        </references>
      </pivotArea>
    </format>
    <format dxfId="1067">
      <pivotArea field="0" dataOnly="0" labelOnly="1" grandRow="1" outline="0" axis="axisRow" fieldPosition="0">
        <references count="1">
          <reference field="4294967294" count="1" selected="0">
            <x v="23"/>
          </reference>
        </references>
      </pivotArea>
    </format>
    <format dxfId="1066">
      <pivotArea field="0" dataOnly="0" labelOnly="1" grandRow="1" outline="0" axis="axisRow" fieldPosition="0">
        <references count="1">
          <reference field="4294967294" count="1" selected="0">
            <x v="24"/>
          </reference>
        </references>
      </pivotArea>
    </format>
    <format dxfId="1065">
      <pivotArea field="0" dataOnly="0" labelOnly="1" grandRow="1" outline="0" axis="axisRow" fieldPosition="0">
        <references count="1">
          <reference field="4294967294" count="1" selected="0">
            <x v="25"/>
          </reference>
        </references>
      </pivotArea>
    </format>
    <format dxfId="1064">
      <pivotArea field="0" dataOnly="0" labelOnly="1" grandRow="1" outline="0" axis="axisRow" fieldPosition="0">
        <references count="1">
          <reference field="4294967294" count="1" selected="0">
            <x v="26"/>
          </reference>
        </references>
      </pivotArea>
    </format>
    <format dxfId="1063">
      <pivotArea field="0" dataOnly="0" labelOnly="1" grandRow="1" outline="0" axis="axisRow" fieldPosition="0">
        <references count="1">
          <reference field="4294967294" count="1" selected="0">
            <x v="27"/>
          </reference>
        </references>
      </pivotArea>
    </format>
    <format dxfId="1062">
      <pivotArea field="0" dataOnly="0" labelOnly="1" grandRow="1" outline="0" axis="axisRow" fieldPosition="0">
        <references count="1">
          <reference field="4294967294" count="1" selected="0">
            <x v="28"/>
          </reference>
        </references>
      </pivotArea>
    </format>
    <format dxfId="1061">
      <pivotArea field="0" dataOnly="0" labelOnly="1" grandRow="1" outline="0" axis="axisRow" fieldPosition="0">
        <references count="1">
          <reference field="4294967294" count="1" selected="0">
            <x v="29"/>
          </reference>
        </references>
      </pivotArea>
    </format>
    <format dxfId="1060">
      <pivotArea field="0" dataOnly="0" labelOnly="1" grandRow="1" outline="0" axis="axisRow" fieldPosition="0">
        <references count="1">
          <reference field="4294967294" count="1" selected="0">
            <x v="30"/>
          </reference>
        </references>
      </pivotArea>
    </format>
    <format dxfId="1059">
      <pivotArea field="0" dataOnly="0" labelOnly="1" grandRow="1" outline="0" axis="axisRow" fieldPosition="0">
        <references count="1">
          <reference field="4294967294" count="1" selected="0">
            <x v="31"/>
          </reference>
        </references>
      </pivotArea>
    </format>
    <format dxfId="1058">
      <pivotArea field="0" dataOnly="0" labelOnly="1" grandRow="1" outline="0" axis="axisRow" fieldPosition="0">
        <references count="1">
          <reference field="4294967294" count="1" selected="0">
            <x v="32"/>
          </reference>
        </references>
      </pivotArea>
    </format>
    <format dxfId="1057">
      <pivotArea field="0" dataOnly="0" labelOnly="1" grandRow="1" outline="0" axis="axisRow" fieldPosition="0">
        <references count="1">
          <reference field="4294967294" count="1" selected="0">
            <x v="33"/>
          </reference>
        </references>
      </pivotArea>
    </format>
    <format dxfId="1056">
      <pivotArea field="0" dataOnly="0" labelOnly="1" grandRow="1" outline="0" axis="axisRow" fieldPosition="0">
        <references count="1">
          <reference field="4294967294" count="1" selected="0">
            <x v="34"/>
          </reference>
        </references>
      </pivotArea>
    </format>
    <format dxfId="1055">
      <pivotArea field="0" dataOnly="0" labelOnly="1" grandRow="1" outline="0" axis="axisRow" fieldPosition="0">
        <references count="1">
          <reference field="4294967294" count="1" selected="0">
            <x v="35"/>
          </reference>
        </references>
      </pivotArea>
    </format>
    <format dxfId="1054">
      <pivotArea field="0" dataOnly="0" labelOnly="1" grandRow="1" outline="0" axis="axisRow" fieldPosition="0">
        <references count="1">
          <reference field="4294967294" count="1" selected="0">
            <x v="0"/>
          </reference>
        </references>
      </pivotArea>
    </format>
    <format dxfId="1053">
      <pivotArea field="0" dataOnly="0" labelOnly="1" grandRow="1" outline="0" axis="axisRow" fieldPosition="0">
        <references count="1">
          <reference field="4294967294" count="1" selected="0">
            <x v="1"/>
          </reference>
        </references>
      </pivotArea>
    </format>
    <format dxfId="1052">
      <pivotArea field="0" dataOnly="0" labelOnly="1" grandRow="1" outline="0" axis="axisRow" fieldPosition="0">
        <references count="1">
          <reference field="4294967294" count="1" selected="0">
            <x v="2"/>
          </reference>
        </references>
      </pivotArea>
    </format>
    <format dxfId="1051">
      <pivotArea field="0" dataOnly="0" labelOnly="1" grandRow="1" outline="0" axis="axisRow" fieldPosition="0">
        <references count="1">
          <reference field="4294967294" count="1" selected="0">
            <x v="3"/>
          </reference>
        </references>
      </pivotArea>
    </format>
    <format dxfId="1050">
      <pivotArea field="0" dataOnly="0" labelOnly="1" grandRow="1" outline="0" axis="axisRow" fieldPosition="0">
        <references count="1">
          <reference field="4294967294" count="1" selected="0">
            <x v="4"/>
          </reference>
        </references>
      </pivotArea>
    </format>
    <format dxfId="1049">
      <pivotArea field="0" dataOnly="0" labelOnly="1" grandRow="1" outline="0" axis="axisRow" fieldPosition="0">
        <references count="1">
          <reference field="4294967294" count="1" selected="0">
            <x v="5"/>
          </reference>
        </references>
      </pivotArea>
    </format>
    <format dxfId="1048">
      <pivotArea field="0" dataOnly="0" labelOnly="1" grandRow="1" outline="0" axis="axisRow" fieldPosition="0">
        <references count="1">
          <reference field="4294967294" count="1" selected="0">
            <x v="6"/>
          </reference>
        </references>
      </pivotArea>
    </format>
    <format dxfId="1047">
      <pivotArea field="0" dataOnly="0" labelOnly="1" grandRow="1" outline="0" axis="axisRow" fieldPosition="0">
        <references count="1">
          <reference field="4294967294" count="1" selected="0">
            <x v="7"/>
          </reference>
        </references>
      </pivotArea>
    </format>
    <format dxfId="1046">
      <pivotArea field="0" dataOnly="0" labelOnly="1" grandRow="1" outline="0" axis="axisRow" fieldPosition="0">
        <references count="1">
          <reference field="4294967294" count="1" selected="0">
            <x v="8"/>
          </reference>
        </references>
      </pivotArea>
    </format>
    <format dxfId="1045">
      <pivotArea field="0" dataOnly="0" labelOnly="1" grandRow="1" outline="0" axis="axisRow" fieldPosition="0">
        <references count="1">
          <reference field="4294967294" count="1" selected="0">
            <x v="9"/>
          </reference>
        </references>
      </pivotArea>
    </format>
    <format dxfId="1044">
      <pivotArea field="0" dataOnly="0" labelOnly="1" grandRow="1" outline="0" axis="axisRow" fieldPosition="0">
        <references count="1">
          <reference field="4294967294" count="1" selected="0">
            <x v="10"/>
          </reference>
        </references>
      </pivotArea>
    </format>
    <format dxfId="1043">
      <pivotArea field="0" dataOnly="0" labelOnly="1" grandRow="1" outline="0" axis="axisRow" fieldPosition="0">
        <references count="1">
          <reference field="4294967294" count="1" selected="0">
            <x v="11"/>
          </reference>
        </references>
      </pivotArea>
    </format>
    <format dxfId="1042">
      <pivotArea field="0" dataOnly="0" labelOnly="1" grandRow="1" outline="0" axis="axisRow" fieldPosition="0">
        <references count="1">
          <reference field="4294967294" count="1" selected="0">
            <x v="12"/>
          </reference>
        </references>
      </pivotArea>
    </format>
    <format dxfId="1041">
      <pivotArea field="0" dataOnly="0" labelOnly="1" grandRow="1" outline="0" axis="axisRow" fieldPosition="0">
        <references count="1">
          <reference field="4294967294" count="1" selected="0">
            <x v="13"/>
          </reference>
        </references>
      </pivotArea>
    </format>
    <format dxfId="1040">
      <pivotArea field="0" dataOnly="0" labelOnly="1" grandRow="1" outline="0" axis="axisRow" fieldPosition="0">
        <references count="1">
          <reference field="4294967294" count="1" selected="0">
            <x v="14"/>
          </reference>
        </references>
      </pivotArea>
    </format>
    <format dxfId="1039">
      <pivotArea field="0" dataOnly="0" labelOnly="1" grandRow="1" outline="0" axis="axisRow" fieldPosition="0">
        <references count="1">
          <reference field="4294967294" count="1" selected="0">
            <x v="15"/>
          </reference>
        </references>
      </pivotArea>
    </format>
    <format dxfId="1038">
      <pivotArea field="0" dataOnly="0" labelOnly="1" grandRow="1" outline="0" axis="axisRow" fieldPosition="0">
        <references count="1">
          <reference field="4294967294" count="1" selected="0">
            <x v="16"/>
          </reference>
        </references>
      </pivotArea>
    </format>
    <format dxfId="1037">
      <pivotArea field="0" dataOnly="0" labelOnly="1" grandRow="1" outline="0" axis="axisRow" fieldPosition="0">
        <references count="1">
          <reference field="4294967294" count="1" selected="0">
            <x v="17"/>
          </reference>
        </references>
      </pivotArea>
    </format>
    <format dxfId="1036">
      <pivotArea field="0" dataOnly="0" labelOnly="1" grandRow="1" outline="0" axis="axisRow" fieldPosition="0">
        <references count="1">
          <reference field="4294967294" count="1" selected="0">
            <x v="18"/>
          </reference>
        </references>
      </pivotArea>
    </format>
    <format dxfId="1035">
      <pivotArea field="0" dataOnly="0" labelOnly="1" grandRow="1" outline="0" axis="axisRow" fieldPosition="0">
        <references count="1">
          <reference field="4294967294" count="1" selected="0">
            <x v="19"/>
          </reference>
        </references>
      </pivotArea>
    </format>
    <format dxfId="1034">
      <pivotArea field="0" dataOnly="0" labelOnly="1" grandRow="1" outline="0" axis="axisRow" fieldPosition="0">
        <references count="1">
          <reference field="4294967294" count="1" selected="0">
            <x v="20"/>
          </reference>
        </references>
      </pivotArea>
    </format>
    <format dxfId="1033">
      <pivotArea field="0" dataOnly="0" labelOnly="1" grandRow="1" outline="0" axis="axisRow" fieldPosition="0">
        <references count="1">
          <reference field="4294967294" count="1" selected="0">
            <x v="21"/>
          </reference>
        </references>
      </pivotArea>
    </format>
    <format dxfId="1032">
      <pivotArea field="0" dataOnly="0" labelOnly="1" grandRow="1" outline="0" axis="axisRow" fieldPosition="0">
        <references count="1">
          <reference field="4294967294" count="1" selected="0">
            <x v="22"/>
          </reference>
        </references>
      </pivotArea>
    </format>
    <format dxfId="1031">
      <pivotArea field="0" dataOnly="0" labelOnly="1" grandRow="1" outline="0" axis="axisRow" fieldPosition="0">
        <references count="1">
          <reference field="4294967294" count="1" selected="0">
            <x v="23"/>
          </reference>
        </references>
      </pivotArea>
    </format>
    <format dxfId="1030">
      <pivotArea field="0" dataOnly="0" labelOnly="1" grandRow="1" outline="0" axis="axisRow" fieldPosition="0">
        <references count="1">
          <reference field="4294967294" count="1" selected="0">
            <x v="24"/>
          </reference>
        </references>
      </pivotArea>
    </format>
    <format dxfId="1029">
      <pivotArea field="0" dataOnly="0" labelOnly="1" grandRow="1" outline="0" axis="axisRow" fieldPosition="0">
        <references count="1">
          <reference field="4294967294" count="1" selected="0">
            <x v="25"/>
          </reference>
        </references>
      </pivotArea>
    </format>
    <format dxfId="1028">
      <pivotArea field="0" dataOnly="0" labelOnly="1" grandRow="1" outline="0" axis="axisRow" fieldPosition="0">
        <references count="1">
          <reference field="4294967294" count="1" selected="0">
            <x v="26"/>
          </reference>
        </references>
      </pivotArea>
    </format>
    <format dxfId="1027">
      <pivotArea field="0" dataOnly="0" labelOnly="1" grandRow="1" outline="0" axis="axisRow" fieldPosition="0">
        <references count="1">
          <reference field="4294967294" count="1" selected="0">
            <x v="27"/>
          </reference>
        </references>
      </pivotArea>
    </format>
    <format dxfId="1026">
      <pivotArea field="0" dataOnly="0" labelOnly="1" grandRow="1" outline="0" axis="axisRow" fieldPosition="0">
        <references count="1">
          <reference field="4294967294" count="1" selected="0">
            <x v="28"/>
          </reference>
        </references>
      </pivotArea>
    </format>
    <format dxfId="1025">
      <pivotArea field="0" dataOnly="0" labelOnly="1" grandRow="1" outline="0" axis="axisRow" fieldPosition="0">
        <references count="1">
          <reference field="4294967294" count="1" selected="0">
            <x v="29"/>
          </reference>
        </references>
      </pivotArea>
    </format>
    <format dxfId="1024">
      <pivotArea field="0" dataOnly="0" labelOnly="1" grandRow="1" outline="0" axis="axisRow" fieldPosition="0">
        <references count="1">
          <reference field="4294967294" count="1" selected="0">
            <x v="30"/>
          </reference>
        </references>
      </pivotArea>
    </format>
    <format dxfId="1023">
      <pivotArea field="0" dataOnly="0" labelOnly="1" grandRow="1" outline="0" axis="axisRow" fieldPosition="0">
        <references count="1">
          <reference field="4294967294" count="1" selected="0">
            <x v="31"/>
          </reference>
        </references>
      </pivotArea>
    </format>
    <format dxfId="1022">
      <pivotArea field="0" dataOnly="0" labelOnly="1" grandRow="1" outline="0" axis="axisRow" fieldPosition="0">
        <references count="1">
          <reference field="4294967294" count="1" selected="0">
            <x v="32"/>
          </reference>
        </references>
      </pivotArea>
    </format>
    <format dxfId="1021">
      <pivotArea field="0" dataOnly="0" labelOnly="1" grandRow="1" outline="0" axis="axisRow" fieldPosition="0">
        <references count="1">
          <reference field="4294967294" count="1" selected="0">
            <x v="33"/>
          </reference>
        </references>
      </pivotArea>
    </format>
    <format dxfId="1020">
      <pivotArea field="0" dataOnly="0" labelOnly="1" grandRow="1" outline="0" axis="axisRow" fieldPosition="0">
        <references count="1">
          <reference field="4294967294" count="1" selected="0">
            <x v="34"/>
          </reference>
        </references>
      </pivotArea>
    </format>
    <format dxfId="1019">
      <pivotArea field="0" dataOnly="0" labelOnly="1" grandRow="1" outline="0" axis="axisRow" fieldPosition="0">
        <references count="1">
          <reference field="4294967294" count="1" selected="0">
            <x v="35"/>
          </reference>
        </references>
      </pivotArea>
    </format>
    <format dxfId="1018">
      <pivotArea field="0" dataOnly="0" labelOnly="1" grandRow="1" outline="0" axis="axisRow" fieldPosition="0">
        <references count="1">
          <reference field="4294967294" count="1" selected="0">
            <x v="0"/>
          </reference>
        </references>
      </pivotArea>
    </format>
    <format dxfId="1017">
      <pivotArea field="0" dataOnly="0" labelOnly="1" grandRow="1" outline="0" axis="axisRow" fieldPosition="0">
        <references count="1">
          <reference field="4294967294" count="1" selected="0">
            <x v="1"/>
          </reference>
        </references>
      </pivotArea>
    </format>
    <format dxfId="1016">
      <pivotArea field="0" dataOnly="0" labelOnly="1" grandRow="1" outline="0" axis="axisRow" fieldPosition="0">
        <references count="1">
          <reference field="4294967294" count="1" selected="0">
            <x v="2"/>
          </reference>
        </references>
      </pivotArea>
    </format>
    <format dxfId="1015">
      <pivotArea field="0" dataOnly="0" labelOnly="1" grandRow="1" outline="0" axis="axisRow" fieldPosition="0">
        <references count="1">
          <reference field="4294967294" count="1" selected="0">
            <x v="3"/>
          </reference>
        </references>
      </pivotArea>
    </format>
    <format dxfId="1014">
      <pivotArea field="0" dataOnly="0" labelOnly="1" grandRow="1" outline="0" axis="axisRow" fieldPosition="0">
        <references count="1">
          <reference field="4294967294" count="1" selected="0">
            <x v="4"/>
          </reference>
        </references>
      </pivotArea>
    </format>
    <format dxfId="1013">
      <pivotArea field="0" dataOnly="0" labelOnly="1" grandRow="1" outline="0" axis="axisRow" fieldPosition="0">
        <references count="1">
          <reference field="4294967294" count="1" selected="0">
            <x v="5"/>
          </reference>
        </references>
      </pivotArea>
    </format>
    <format dxfId="1012">
      <pivotArea field="0" dataOnly="0" labelOnly="1" grandRow="1" outline="0" axis="axisRow" fieldPosition="0">
        <references count="1">
          <reference field="4294967294" count="1" selected="0">
            <x v="6"/>
          </reference>
        </references>
      </pivotArea>
    </format>
    <format dxfId="1011">
      <pivotArea field="0" dataOnly="0" labelOnly="1" grandRow="1" outline="0" axis="axisRow" fieldPosition="0">
        <references count="1">
          <reference field="4294967294" count="1" selected="0">
            <x v="7"/>
          </reference>
        </references>
      </pivotArea>
    </format>
    <format dxfId="1010">
      <pivotArea field="0" dataOnly="0" labelOnly="1" grandRow="1" outline="0" axis="axisRow" fieldPosition="0">
        <references count="1">
          <reference field="4294967294" count="1" selected="0">
            <x v="8"/>
          </reference>
        </references>
      </pivotArea>
    </format>
    <format dxfId="1009">
      <pivotArea field="0" dataOnly="0" labelOnly="1" grandRow="1" outline="0" axis="axisRow" fieldPosition="0">
        <references count="1">
          <reference field="4294967294" count="1" selected="0">
            <x v="9"/>
          </reference>
        </references>
      </pivotArea>
    </format>
    <format dxfId="1008">
      <pivotArea field="0" dataOnly="0" labelOnly="1" grandRow="1" outline="0" axis="axisRow" fieldPosition="0">
        <references count="1">
          <reference field="4294967294" count="1" selected="0">
            <x v="10"/>
          </reference>
        </references>
      </pivotArea>
    </format>
    <format dxfId="1007">
      <pivotArea field="0" dataOnly="0" labelOnly="1" grandRow="1" outline="0" axis="axisRow" fieldPosition="0">
        <references count="1">
          <reference field="4294967294" count="1" selected="0">
            <x v="11"/>
          </reference>
        </references>
      </pivotArea>
    </format>
    <format dxfId="1006">
      <pivotArea field="0" dataOnly="0" labelOnly="1" grandRow="1" outline="0" axis="axisRow" fieldPosition="0">
        <references count="1">
          <reference field="4294967294" count="1" selected="0">
            <x v="12"/>
          </reference>
        </references>
      </pivotArea>
    </format>
    <format dxfId="1005">
      <pivotArea field="0" dataOnly="0" labelOnly="1" grandRow="1" outline="0" axis="axisRow" fieldPosition="0">
        <references count="1">
          <reference field="4294967294" count="1" selected="0">
            <x v="13"/>
          </reference>
        </references>
      </pivotArea>
    </format>
    <format dxfId="1004">
      <pivotArea field="0" dataOnly="0" labelOnly="1" grandRow="1" outline="0" axis="axisRow" fieldPosition="0">
        <references count="1">
          <reference field="4294967294" count="1" selected="0">
            <x v="14"/>
          </reference>
        </references>
      </pivotArea>
    </format>
    <format dxfId="1003">
      <pivotArea field="0" dataOnly="0" labelOnly="1" grandRow="1" outline="0" axis="axisRow" fieldPosition="0">
        <references count="1">
          <reference field="4294967294" count="1" selected="0">
            <x v="15"/>
          </reference>
        </references>
      </pivotArea>
    </format>
    <format dxfId="1002">
      <pivotArea field="0" dataOnly="0" labelOnly="1" grandRow="1" outline="0" axis="axisRow" fieldPosition="0">
        <references count="1">
          <reference field="4294967294" count="1" selected="0">
            <x v="16"/>
          </reference>
        </references>
      </pivotArea>
    </format>
    <format dxfId="1001">
      <pivotArea field="0" dataOnly="0" labelOnly="1" grandRow="1" outline="0" axis="axisRow" fieldPosition="0">
        <references count="1">
          <reference field="4294967294" count="1" selected="0">
            <x v="17"/>
          </reference>
        </references>
      </pivotArea>
    </format>
    <format dxfId="1000">
      <pivotArea field="0" dataOnly="0" labelOnly="1" grandRow="1" outline="0" axis="axisRow" fieldPosition="0">
        <references count="1">
          <reference field="4294967294" count="1" selected="0">
            <x v="18"/>
          </reference>
        </references>
      </pivotArea>
    </format>
    <format dxfId="999">
      <pivotArea field="0" dataOnly="0" labelOnly="1" grandRow="1" outline="0" axis="axisRow" fieldPosition="0">
        <references count="1">
          <reference field="4294967294" count="1" selected="0">
            <x v="19"/>
          </reference>
        </references>
      </pivotArea>
    </format>
    <format dxfId="998">
      <pivotArea field="0" dataOnly="0" labelOnly="1" grandRow="1" outline="0" axis="axisRow" fieldPosition="0">
        <references count="1">
          <reference field="4294967294" count="1" selected="0">
            <x v="20"/>
          </reference>
        </references>
      </pivotArea>
    </format>
    <format dxfId="997">
      <pivotArea field="0" dataOnly="0" labelOnly="1" grandRow="1" outline="0" axis="axisRow" fieldPosition="0">
        <references count="1">
          <reference field="4294967294" count="1" selected="0">
            <x v="21"/>
          </reference>
        </references>
      </pivotArea>
    </format>
    <format dxfId="996">
      <pivotArea field="0" dataOnly="0" labelOnly="1" grandRow="1" outline="0" axis="axisRow" fieldPosition="0">
        <references count="1">
          <reference field="4294967294" count="1" selected="0">
            <x v="22"/>
          </reference>
        </references>
      </pivotArea>
    </format>
    <format dxfId="995">
      <pivotArea field="0" dataOnly="0" labelOnly="1" grandRow="1" outline="0" axis="axisRow" fieldPosition="0">
        <references count="1">
          <reference field="4294967294" count="1" selected="0">
            <x v="23"/>
          </reference>
        </references>
      </pivotArea>
    </format>
    <format dxfId="994">
      <pivotArea field="0" dataOnly="0" labelOnly="1" grandRow="1" outline="0" axis="axisRow" fieldPosition="0">
        <references count="1">
          <reference field="4294967294" count="1" selected="0">
            <x v="24"/>
          </reference>
        </references>
      </pivotArea>
    </format>
    <format dxfId="993">
      <pivotArea field="0" dataOnly="0" labelOnly="1" grandRow="1" outline="0" axis="axisRow" fieldPosition="0">
        <references count="1">
          <reference field="4294967294" count="1" selected="0">
            <x v="25"/>
          </reference>
        </references>
      </pivotArea>
    </format>
    <format dxfId="992">
      <pivotArea field="0" dataOnly="0" labelOnly="1" grandRow="1" outline="0" axis="axisRow" fieldPosition="0">
        <references count="1">
          <reference field="4294967294" count="1" selected="0">
            <x v="26"/>
          </reference>
        </references>
      </pivotArea>
    </format>
    <format dxfId="991">
      <pivotArea field="0" dataOnly="0" labelOnly="1" grandRow="1" outline="0" axis="axisRow" fieldPosition="0">
        <references count="1">
          <reference field="4294967294" count="1" selected="0">
            <x v="27"/>
          </reference>
        </references>
      </pivotArea>
    </format>
    <format dxfId="990">
      <pivotArea field="0" dataOnly="0" labelOnly="1" grandRow="1" outline="0" axis="axisRow" fieldPosition="0">
        <references count="1">
          <reference field="4294967294" count="1" selected="0">
            <x v="28"/>
          </reference>
        </references>
      </pivotArea>
    </format>
    <format dxfId="989">
      <pivotArea field="0" dataOnly="0" labelOnly="1" grandRow="1" outline="0" axis="axisRow" fieldPosition="0">
        <references count="1">
          <reference field="4294967294" count="1" selected="0">
            <x v="29"/>
          </reference>
        </references>
      </pivotArea>
    </format>
    <format dxfId="988">
      <pivotArea field="0" dataOnly="0" labelOnly="1" grandRow="1" outline="0" axis="axisRow" fieldPosition="0">
        <references count="1">
          <reference field="4294967294" count="1" selected="0">
            <x v="30"/>
          </reference>
        </references>
      </pivotArea>
    </format>
    <format dxfId="987">
      <pivotArea field="0" dataOnly="0" labelOnly="1" grandRow="1" outline="0" axis="axisRow" fieldPosition="0">
        <references count="1">
          <reference field="4294967294" count="1" selected="0">
            <x v="31"/>
          </reference>
        </references>
      </pivotArea>
    </format>
    <format dxfId="986">
      <pivotArea field="0" dataOnly="0" labelOnly="1" grandRow="1" outline="0" axis="axisRow" fieldPosition="0">
        <references count="1">
          <reference field="4294967294" count="1" selected="0">
            <x v="32"/>
          </reference>
        </references>
      </pivotArea>
    </format>
    <format dxfId="985">
      <pivotArea field="0" dataOnly="0" labelOnly="1" grandRow="1" outline="0" axis="axisRow" fieldPosition="0">
        <references count="1">
          <reference field="4294967294" count="1" selected="0">
            <x v="33"/>
          </reference>
        </references>
      </pivotArea>
    </format>
    <format dxfId="984">
      <pivotArea field="0" dataOnly="0" labelOnly="1" grandRow="1" outline="0" axis="axisRow" fieldPosition="0">
        <references count="1">
          <reference field="4294967294" count="1" selected="0">
            <x v="34"/>
          </reference>
        </references>
      </pivotArea>
    </format>
    <format dxfId="983">
      <pivotArea field="0" dataOnly="0" labelOnly="1" grandRow="1" outline="0" axis="axisRow" fieldPosition="0">
        <references count="1">
          <reference field="4294967294" count="1" selected="0">
            <x v="35"/>
          </reference>
        </references>
      </pivotArea>
    </format>
    <format dxfId="982">
      <pivotArea field="0" dataOnly="0" labelOnly="1" grandRow="1" outline="0" axis="axisRow" fieldPosition="0">
        <references count="1">
          <reference field="4294967294" count="1" selected="0">
            <x v="0"/>
          </reference>
        </references>
      </pivotArea>
    </format>
    <format dxfId="981">
      <pivotArea field="0" dataOnly="0" labelOnly="1" grandRow="1" outline="0" axis="axisRow" fieldPosition="0">
        <references count="1">
          <reference field="4294967294" count="1" selected="0">
            <x v="1"/>
          </reference>
        </references>
      </pivotArea>
    </format>
    <format dxfId="980">
      <pivotArea field="0" dataOnly="0" labelOnly="1" grandRow="1" outline="0" axis="axisRow" fieldPosition="0">
        <references count="1">
          <reference field="4294967294" count="1" selected="0">
            <x v="2"/>
          </reference>
        </references>
      </pivotArea>
    </format>
    <format dxfId="979">
      <pivotArea field="0" dataOnly="0" labelOnly="1" grandRow="1" outline="0" axis="axisRow" fieldPosition="0">
        <references count="1">
          <reference field="4294967294" count="1" selected="0">
            <x v="3"/>
          </reference>
        </references>
      </pivotArea>
    </format>
    <format dxfId="978">
      <pivotArea field="0" dataOnly="0" labelOnly="1" grandRow="1" outline="0" axis="axisRow" fieldPosition="0">
        <references count="1">
          <reference field="4294967294" count="1" selected="0">
            <x v="4"/>
          </reference>
        </references>
      </pivotArea>
    </format>
    <format dxfId="977">
      <pivotArea field="0" dataOnly="0" labelOnly="1" grandRow="1" outline="0" axis="axisRow" fieldPosition="0">
        <references count="1">
          <reference field="4294967294" count="1" selected="0">
            <x v="5"/>
          </reference>
        </references>
      </pivotArea>
    </format>
    <format dxfId="976">
      <pivotArea field="0" dataOnly="0" labelOnly="1" grandRow="1" outline="0" axis="axisRow" fieldPosition="0">
        <references count="1">
          <reference field="4294967294" count="1" selected="0">
            <x v="6"/>
          </reference>
        </references>
      </pivotArea>
    </format>
    <format dxfId="975">
      <pivotArea field="0" dataOnly="0" labelOnly="1" grandRow="1" outline="0" axis="axisRow" fieldPosition="0">
        <references count="1">
          <reference field="4294967294" count="1" selected="0">
            <x v="7"/>
          </reference>
        </references>
      </pivotArea>
    </format>
    <format dxfId="974">
      <pivotArea field="0" dataOnly="0" labelOnly="1" grandRow="1" outline="0" axis="axisRow" fieldPosition="0">
        <references count="1">
          <reference field="4294967294" count="1" selected="0">
            <x v="8"/>
          </reference>
        </references>
      </pivotArea>
    </format>
    <format dxfId="973">
      <pivotArea field="0" dataOnly="0" labelOnly="1" grandRow="1" outline="0" axis="axisRow" fieldPosition="0">
        <references count="1">
          <reference field="4294967294" count="1" selected="0">
            <x v="9"/>
          </reference>
        </references>
      </pivotArea>
    </format>
    <format dxfId="972">
      <pivotArea field="0" dataOnly="0" labelOnly="1" grandRow="1" outline="0" axis="axisRow" fieldPosition="0">
        <references count="1">
          <reference field="4294967294" count="1" selected="0">
            <x v="10"/>
          </reference>
        </references>
      </pivotArea>
    </format>
    <format dxfId="971">
      <pivotArea field="0" dataOnly="0" labelOnly="1" grandRow="1" outline="0" axis="axisRow" fieldPosition="0">
        <references count="1">
          <reference field="4294967294" count="1" selected="0">
            <x v="11"/>
          </reference>
        </references>
      </pivotArea>
    </format>
    <format dxfId="970">
      <pivotArea field="0" dataOnly="0" labelOnly="1" grandRow="1" outline="0" axis="axisRow" fieldPosition="0">
        <references count="1">
          <reference field="4294967294" count="1" selected="0">
            <x v="12"/>
          </reference>
        </references>
      </pivotArea>
    </format>
    <format dxfId="969">
      <pivotArea field="0" dataOnly="0" labelOnly="1" grandRow="1" outline="0" axis="axisRow" fieldPosition="0">
        <references count="1">
          <reference field="4294967294" count="1" selected="0">
            <x v="13"/>
          </reference>
        </references>
      </pivotArea>
    </format>
    <format dxfId="968">
      <pivotArea field="0" dataOnly="0" labelOnly="1" grandRow="1" outline="0" axis="axisRow" fieldPosition="0">
        <references count="1">
          <reference field="4294967294" count="1" selected="0">
            <x v="14"/>
          </reference>
        </references>
      </pivotArea>
    </format>
    <format dxfId="967">
      <pivotArea field="0" dataOnly="0" labelOnly="1" grandRow="1" outline="0" axis="axisRow" fieldPosition="0">
        <references count="1">
          <reference field="4294967294" count="1" selected="0">
            <x v="15"/>
          </reference>
        </references>
      </pivotArea>
    </format>
    <format dxfId="966">
      <pivotArea field="0" dataOnly="0" labelOnly="1" grandRow="1" outline="0" axis="axisRow" fieldPosition="0">
        <references count="1">
          <reference field="4294967294" count="1" selected="0">
            <x v="16"/>
          </reference>
        </references>
      </pivotArea>
    </format>
    <format dxfId="965">
      <pivotArea field="0" dataOnly="0" labelOnly="1" grandRow="1" outline="0" axis="axisRow" fieldPosition="0">
        <references count="1">
          <reference field="4294967294" count="1" selected="0">
            <x v="17"/>
          </reference>
        </references>
      </pivotArea>
    </format>
    <format dxfId="964">
      <pivotArea field="0" dataOnly="0" labelOnly="1" grandRow="1" outline="0" axis="axisRow" fieldPosition="0">
        <references count="1">
          <reference field="4294967294" count="1" selected="0">
            <x v="18"/>
          </reference>
        </references>
      </pivotArea>
    </format>
    <format dxfId="963">
      <pivotArea field="0" dataOnly="0" labelOnly="1" grandRow="1" outline="0" axis="axisRow" fieldPosition="0">
        <references count="1">
          <reference field="4294967294" count="1" selected="0">
            <x v="19"/>
          </reference>
        </references>
      </pivotArea>
    </format>
    <format dxfId="962">
      <pivotArea field="0" dataOnly="0" labelOnly="1" grandRow="1" outline="0" axis="axisRow" fieldPosition="0">
        <references count="1">
          <reference field="4294967294" count="1" selected="0">
            <x v="20"/>
          </reference>
        </references>
      </pivotArea>
    </format>
    <format dxfId="961">
      <pivotArea field="0" dataOnly="0" labelOnly="1" grandRow="1" outline="0" axis="axisRow" fieldPosition="0">
        <references count="1">
          <reference field="4294967294" count="1" selected="0">
            <x v="21"/>
          </reference>
        </references>
      </pivotArea>
    </format>
    <format dxfId="960">
      <pivotArea field="0" dataOnly="0" labelOnly="1" grandRow="1" outline="0" axis="axisRow" fieldPosition="0">
        <references count="1">
          <reference field="4294967294" count="1" selected="0">
            <x v="22"/>
          </reference>
        </references>
      </pivotArea>
    </format>
    <format dxfId="959">
      <pivotArea field="0" dataOnly="0" labelOnly="1" grandRow="1" outline="0" axis="axisRow" fieldPosition="0">
        <references count="1">
          <reference field="4294967294" count="1" selected="0">
            <x v="23"/>
          </reference>
        </references>
      </pivotArea>
    </format>
    <format dxfId="958">
      <pivotArea field="0" dataOnly="0" labelOnly="1" grandRow="1" outline="0" axis="axisRow" fieldPosition="0">
        <references count="1">
          <reference field="4294967294" count="1" selected="0">
            <x v="24"/>
          </reference>
        </references>
      </pivotArea>
    </format>
    <format dxfId="957">
      <pivotArea field="0" dataOnly="0" labelOnly="1" grandRow="1" outline="0" axis="axisRow" fieldPosition="0">
        <references count="1">
          <reference field="4294967294" count="1" selected="0">
            <x v="25"/>
          </reference>
        </references>
      </pivotArea>
    </format>
    <format dxfId="956">
      <pivotArea field="0" dataOnly="0" labelOnly="1" grandRow="1" outline="0" axis="axisRow" fieldPosition="0">
        <references count="1">
          <reference field="4294967294" count="1" selected="0">
            <x v="26"/>
          </reference>
        </references>
      </pivotArea>
    </format>
    <format dxfId="955">
      <pivotArea field="0" dataOnly="0" labelOnly="1" grandRow="1" outline="0" axis="axisRow" fieldPosition="0">
        <references count="1">
          <reference field="4294967294" count="1" selected="0">
            <x v="27"/>
          </reference>
        </references>
      </pivotArea>
    </format>
    <format dxfId="954">
      <pivotArea field="0" dataOnly="0" labelOnly="1" grandRow="1" outline="0" axis="axisRow" fieldPosition="0">
        <references count="1">
          <reference field="4294967294" count="1" selected="0">
            <x v="28"/>
          </reference>
        </references>
      </pivotArea>
    </format>
    <format dxfId="953">
      <pivotArea field="0" dataOnly="0" labelOnly="1" grandRow="1" outline="0" axis="axisRow" fieldPosition="0">
        <references count="1">
          <reference field="4294967294" count="1" selected="0">
            <x v="29"/>
          </reference>
        </references>
      </pivotArea>
    </format>
    <format dxfId="952">
      <pivotArea field="0" dataOnly="0" labelOnly="1" grandRow="1" outline="0" axis="axisRow" fieldPosition="0">
        <references count="1">
          <reference field="4294967294" count="1" selected="0">
            <x v="30"/>
          </reference>
        </references>
      </pivotArea>
    </format>
    <format dxfId="951">
      <pivotArea field="0" dataOnly="0" labelOnly="1" grandRow="1" outline="0" axis="axisRow" fieldPosition="0">
        <references count="1">
          <reference field="4294967294" count="1" selected="0">
            <x v="31"/>
          </reference>
        </references>
      </pivotArea>
    </format>
    <format dxfId="950">
      <pivotArea field="0" dataOnly="0" labelOnly="1" grandRow="1" outline="0" axis="axisRow" fieldPosition="0">
        <references count="1">
          <reference field="4294967294" count="1" selected="0">
            <x v="32"/>
          </reference>
        </references>
      </pivotArea>
    </format>
    <format dxfId="949">
      <pivotArea field="0" dataOnly="0" labelOnly="1" grandRow="1" outline="0" axis="axisRow" fieldPosition="0">
        <references count="1">
          <reference field="4294967294" count="1" selected="0">
            <x v="33"/>
          </reference>
        </references>
      </pivotArea>
    </format>
    <format dxfId="948">
      <pivotArea field="0" dataOnly="0" labelOnly="1" grandRow="1" outline="0" axis="axisRow" fieldPosition="0">
        <references count="1">
          <reference field="4294967294" count="1" selected="0">
            <x v="34"/>
          </reference>
        </references>
      </pivotArea>
    </format>
    <format dxfId="947">
      <pivotArea field="0" dataOnly="0" labelOnly="1" grandRow="1" outline="0" axis="axisRow" fieldPosition="0">
        <references count="1">
          <reference field="4294967294" count="1" selected="0">
            <x v="35"/>
          </reference>
        </references>
      </pivotArea>
    </format>
    <format dxfId="946">
      <pivotArea field="0" dataOnly="0" labelOnly="1" grandRow="1" outline="0" axis="axisRow" fieldPosition="0">
        <references count="1">
          <reference field="4294967294" count="1" selected="0">
            <x v="0"/>
          </reference>
        </references>
      </pivotArea>
    </format>
    <format dxfId="945">
      <pivotArea field="0" dataOnly="0" labelOnly="1" grandRow="1" outline="0" axis="axisRow" fieldPosition="0">
        <references count="1">
          <reference field="4294967294" count="1" selected="0">
            <x v="1"/>
          </reference>
        </references>
      </pivotArea>
    </format>
    <format dxfId="944">
      <pivotArea field="0" dataOnly="0" labelOnly="1" grandRow="1" outline="0" axis="axisRow" fieldPosition="0">
        <references count="1">
          <reference field="4294967294" count="1" selected="0">
            <x v="2"/>
          </reference>
        </references>
      </pivotArea>
    </format>
    <format dxfId="943">
      <pivotArea field="0" dataOnly="0" labelOnly="1" grandRow="1" outline="0" axis="axisRow" fieldPosition="0">
        <references count="1">
          <reference field="4294967294" count="1" selected="0">
            <x v="3"/>
          </reference>
        </references>
      </pivotArea>
    </format>
    <format dxfId="942">
      <pivotArea field="0" dataOnly="0" labelOnly="1" grandRow="1" outline="0" axis="axisRow" fieldPosition="0">
        <references count="1">
          <reference field="4294967294" count="1" selected="0">
            <x v="4"/>
          </reference>
        </references>
      </pivotArea>
    </format>
    <format dxfId="941">
      <pivotArea field="0" dataOnly="0" labelOnly="1" grandRow="1" outline="0" axis="axisRow" fieldPosition="0">
        <references count="1">
          <reference field="4294967294" count="1" selected="0">
            <x v="5"/>
          </reference>
        </references>
      </pivotArea>
    </format>
    <format dxfId="940">
      <pivotArea field="0" dataOnly="0" labelOnly="1" grandRow="1" outline="0" axis="axisRow" fieldPosition="0">
        <references count="1">
          <reference field="4294967294" count="1" selected="0">
            <x v="6"/>
          </reference>
        </references>
      </pivotArea>
    </format>
    <format dxfId="939">
      <pivotArea field="0" dataOnly="0" labelOnly="1" grandRow="1" outline="0" axis="axisRow" fieldPosition="0">
        <references count="1">
          <reference field="4294967294" count="1" selected="0">
            <x v="7"/>
          </reference>
        </references>
      </pivotArea>
    </format>
    <format dxfId="938">
      <pivotArea field="0" dataOnly="0" labelOnly="1" grandRow="1" outline="0" axis="axisRow" fieldPosition="0">
        <references count="1">
          <reference field="4294967294" count="1" selected="0">
            <x v="8"/>
          </reference>
        </references>
      </pivotArea>
    </format>
    <format dxfId="937">
      <pivotArea field="0" dataOnly="0" labelOnly="1" grandRow="1" outline="0" axis="axisRow" fieldPosition="0">
        <references count="1">
          <reference field="4294967294" count="1" selected="0">
            <x v="9"/>
          </reference>
        </references>
      </pivotArea>
    </format>
    <format dxfId="936">
      <pivotArea field="0" dataOnly="0" labelOnly="1" grandRow="1" outline="0" axis="axisRow" fieldPosition="0">
        <references count="1">
          <reference field="4294967294" count="1" selected="0">
            <x v="10"/>
          </reference>
        </references>
      </pivotArea>
    </format>
    <format dxfId="935">
      <pivotArea field="0" dataOnly="0" labelOnly="1" grandRow="1" outline="0" axis="axisRow" fieldPosition="0">
        <references count="1">
          <reference field="4294967294" count="1" selected="0">
            <x v="11"/>
          </reference>
        </references>
      </pivotArea>
    </format>
    <format dxfId="934">
      <pivotArea field="0" dataOnly="0" labelOnly="1" grandRow="1" outline="0" axis="axisRow" fieldPosition="0">
        <references count="1">
          <reference field="4294967294" count="1" selected="0">
            <x v="12"/>
          </reference>
        </references>
      </pivotArea>
    </format>
    <format dxfId="933">
      <pivotArea field="0" dataOnly="0" labelOnly="1" grandRow="1" outline="0" axis="axisRow" fieldPosition="0">
        <references count="1">
          <reference field="4294967294" count="1" selected="0">
            <x v="13"/>
          </reference>
        </references>
      </pivotArea>
    </format>
    <format dxfId="932">
      <pivotArea field="0" dataOnly="0" labelOnly="1" grandRow="1" outline="0" axis="axisRow" fieldPosition="0">
        <references count="1">
          <reference field="4294967294" count="1" selected="0">
            <x v="14"/>
          </reference>
        </references>
      </pivotArea>
    </format>
    <format dxfId="931">
      <pivotArea field="0" dataOnly="0" labelOnly="1" grandRow="1" outline="0" axis="axisRow" fieldPosition="0">
        <references count="1">
          <reference field="4294967294" count="1" selected="0">
            <x v="15"/>
          </reference>
        </references>
      </pivotArea>
    </format>
    <format dxfId="930">
      <pivotArea field="0" dataOnly="0" labelOnly="1" grandRow="1" outline="0" axis="axisRow" fieldPosition="0">
        <references count="1">
          <reference field="4294967294" count="1" selected="0">
            <x v="16"/>
          </reference>
        </references>
      </pivotArea>
    </format>
    <format dxfId="929">
      <pivotArea field="0" dataOnly="0" labelOnly="1" grandRow="1" outline="0" axis="axisRow" fieldPosition="0">
        <references count="1">
          <reference field="4294967294" count="1" selected="0">
            <x v="17"/>
          </reference>
        </references>
      </pivotArea>
    </format>
    <format dxfId="928">
      <pivotArea field="0" dataOnly="0" labelOnly="1" grandRow="1" outline="0" axis="axisRow" fieldPosition="0">
        <references count="1">
          <reference field="4294967294" count="1" selected="0">
            <x v="18"/>
          </reference>
        </references>
      </pivotArea>
    </format>
    <format dxfId="927">
      <pivotArea field="0" dataOnly="0" labelOnly="1" grandRow="1" outline="0" axis="axisRow" fieldPosition="0">
        <references count="1">
          <reference field="4294967294" count="1" selected="0">
            <x v="19"/>
          </reference>
        </references>
      </pivotArea>
    </format>
    <format dxfId="926">
      <pivotArea field="0" dataOnly="0" labelOnly="1" grandRow="1" outline="0" axis="axisRow" fieldPosition="0">
        <references count="1">
          <reference field="4294967294" count="1" selected="0">
            <x v="20"/>
          </reference>
        </references>
      </pivotArea>
    </format>
    <format dxfId="925">
      <pivotArea field="0" dataOnly="0" labelOnly="1" grandRow="1" outline="0" axis="axisRow" fieldPosition="0">
        <references count="1">
          <reference field="4294967294" count="1" selected="0">
            <x v="21"/>
          </reference>
        </references>
      </pivotArea>
    </format>
    <format dxfId="924">
      <pivotArea field="0" dataOnly="0" labelOnly="1" grandRow="1" outline="0" axis="axisRow" fieldPosition="0">
        <references count="1">
          <reference field="4294967294" count="1" selected="0">
            <x v="22"/>
          </reference>
        </references>
      </pivotArea>
    </format>
    <format dxfId="923">
      <pivotArea field="0" dataOnly="0" labelOnly="1" grandRow="1" outline="0" axis="axisRow" fieldPosition="0">
        <references count="1">
          <reference field="4294967294" count="1" selected="0">
            <x v="23"/>
          </reference>
        </references>
      </pivotArea>
    </format>
    <format dxfId="922">
      <pivotArea field="0" dataOnly="0" labelOnly="1" grandRow="1" outline="0" axis="axisRow" fieldPosition="0">
        <references count="1">
          <reference field="4294967294" count="1" selected="0">
            <x v="24"/>
          </reference>
        </references>
      </pivotArea>
    </format>
    <format dxfId="921">
      <pivotArea field="0" dataOnly="0" labelOnly="1" grandRow="1" outline="0" axis="axisRow" fieldPosition="0">
        <references count="1">
          <reference field="4294967294" count="1" selected="0">
            <x v="25"/>
          </reference>
        </references>
      </pivotArea>
    </format>
    <format dxfId="920">
      <pivotArea field="0" dataOnly="0" labelOnly="1" grandRow="1" outline="0" axis="axisRow" fieldPosition="0">
        <references count="1">
          <reference field="4294967294" count="1" selected="0">
            <x v="26"/>
          </reference>
        </references>
      </pivotArea>
    </format>
    <format dxfId="919">
      <pivotArea field="0" dataOnly="0" labelOnly="1" grandRow="1" outline="0" axis="axisRow" fieldPosition="0">
        <references count="1">
          <reference field="4294967294" count="1" selected="0">
            <x v="27"/>
          </reference>
        </references>
      </pivotArea>
    </format>
    <format dxfId="918">
      <pivotArea field="0" dataOnly="0" labelOnly="1" grandRow="1" outline="0" axis="axisRow" fieldPosition="0">
        <references count="1">
          <reference field="4294967294" count="1" selected="0">
            <x v="28"/>
          </reference>
        </references>
      </pivotArea>
    </format>
    <format dxfId="917">
      <pivotArea field="0" dataOnly="0" labelOnly="1" grandRow="1" outline="0" axis="axisRow" fieldPosition="0">
        <references count="1">
          <reference field="4294967294" count="1" selected="0">
            <x v="29"/>
          </reference>
        </references>
      </pivotArea>
    </format>
    <format dxfId="916">
      <pivotArea field="0" dataOnly="0" labelOnly="1" grandRow="1" outline="0" axis="axisRow" fieldPosition="0">
        <references count="1">
          <reference field="4294967294" count="1" selected="0">
            <x v="30"/>
          </reference>
        </references>
      </pivotArea>
    </format>
    <format dxfId="915">
      <pivotArea field="0" dataOnly="0" labelOnly="1" grandRow="1" outline="0" axis="axisRow" fieldPosition="0">
        <references count="1">
          <reference field="4294967294" count="1" selected="0">
            <x v="31"/>
          </reference>
        </references>
      </pivotArea>
    </format>
    <format dxfId="914">
      <pivotArea field="0" dataOnly="0" labelOnly="1" grandRow="1" outline="0" axis="axisRow" fieldPosition="0">
        <references count="1">
          <reference field="4294967294" count="1" selected="0">
            <x v="32"/>
          </reference>
        </references>
      </pivotArea>
    </format>
    <format dxfId="913">
      <pivotArea field="0" dataOnly="0" labelOnly="1" grandRow="1" outline="0" axis="axisRow" fieldPosition="0">
        <references count="1">
          <reference field="4294967294" count="1" selected="0">
            <x v="33"/>
          </reference>
        </references>
      </pivotArea>
    </format>
    <format dxfId="912">
      <pivotArea field="0" dataOnly="0" labelOnly="1" grandRow="1" outline="0" axis="axisRow" fieldPosition="0">
        <references count="1">
          <reference field="4294967294" count="1" selected="0">
            <x v="34"/>
          </reference>
        </references>
      </pivotArea>
    </format>
    <format dxfId="911">
      <pivotArea field="0" dataOnly="0" labelOnly="1" grandRow="1" outline="0" axis="axisRow" fieldPosition="0">
        <references count="1">
          <reference field="4294967294" count="1" selected="0">
            <x v="35"/>
          </reference>
        </references>
      </pivotArea>
    </format>
    <format dxfId="910">
      <pivotArea field="0" dataOnly="0" labelOnly="1" grandRow="1" outline="0" axis="axisRow" fieldPosition="0">
        <references count="1">
          <reference field="4294967294" count="1" selected="0">
            <x v="0"/>
          </reference>
        </references>
      </pivotArea>
    </format>
    <format dxfId="909">
      <pivotArea field="0" dataOnly="0" labelOnly="1" grandRow="1" outline="0" axis="axisRow" fieldPosition="0">
        <references count="1">
          <reference field="4294967294" count="1" selected="0">
            <x v="1"/>
          </reference>
        </references>
      </pivotArea>
    </format>
    <format dxfId="908">
      <pivotArea field="0" dataOnly="0" labelOnly="1" grandRow="1" outline="0" axis="axisRow" fieldPosition="0">
        <references count="1">
          <reference field="4294967294" count="1" selected="0">
            <x v="2"/>
          </reference>
        </references>
      </pivotArea>
    </format>
    <format dxfId="907">
      <pivotArea field="0" dataOnly="0" labelOnly="1" grandRow="1" outline="0" axis="axisRow" fieldPosition="0">
        <references count="1">
          <reference field="4294967294" count="1" selected="0">
            <x v="3"/>
          </reference>
        </references>
      </pivotArea>
    </format>
    <format dxfId="906">
      <pivotArea field="0" dataOnly="0" labelOnly="1" grandRow="1" outline="0" axis="axisRow" fieldPosition="0">
        <references count="1">
          <reference field="4294967294" count="1" selected="0">
            <x v="4"/>
          </reference>
        </references>
      </pivotArea>
    </format>
    <format dxfId="905">
      <pivotArea field="0" dataOnly="0" labelOnly="1" grandRow="1" outline="0" axis="axisRow" fieldPosition="0">
        <references count="1">
          <reference field="4294967294" count="1" selected="0">
            <x v="5"/>
          </reference>
        </references>
      </pivotArea>
    </format>
    <format dxfId="904">
      <pivotArea field="0" dataOnly="0" labelOnly="1" grandRow="1" outline="0" axis="axisRow" fieldPosition="0">
        <references count="1">
          <reference field="4294967294" count="1" selected="0">
            <x v="6"/>
          </reference>
        </references>
      </pivotArea>
    </format>
    <format dxfId="903">
      <pivotArea field="0" dataOnly="0" labelOnly="1" grandRow="1" outline="0" axis="axisRow" fieldPosition="0">
        <references count="1">
          <reference field="4294967294" count="1" selected="0">
            <x v="7"/>
          </reference>
        </references>
      </pivotArea>
    </format>
    <format dxfId="902">
      <pivotArea field="0" dataOnly="0" labelOnly="1" grandRow="1" outline="0" axis="axisRow" fieldPosition="0">
        <references count="1">
          <reference field="4294967294" count="1" selected="0">
            <x v="8"/>
          </reference>
        </references>
      </pivotArea>
    </format>
    <format dxfId="901">
      <pivotArea field="0" dataOnly="0" labelOnly="1" grandRow="1" outline="0" axis="axisRow" fieldPosition="0">
        <references count="1">
          <reference field="4294967294" count="1" selected="0">
            <x v="9"/>
          </reference>
        </references>
      </pivotArea>
    </format>
    <format dxfId="900">
      <pivotArea field="0" dataOnly="0" labelOnly="1" grandRow="1" outline="0" axis="axisRow" fieldPosition="0">
        <references count="1">
          <reference field="4294967294" count="1" selected="0">
            <x v="10"/>
          </reference>
        </references>
      </pivotArea>
    </format>
    <format dxfId="899">
      <pivotArea field="0" dataOnly="0" labelOnly="1" grandRow="1" outline="0" axis="axisRow" fieldPosition="0">
        <references count="1">
          <reference field="4294967294" count="1" selected="0">
            <x v="11"/>
          </reference>
        </references>
      </pivotArea>
    </format>
    <format dxfId="898">
      <pivotArea field="0" dataOnly="0" labelOnly="1" grandRow="1" outline="0" axis="axisRow" fieldPosition="0">
        <references count="1">
          <reference field="4294967294" count="1" selected="0">
            <x v="12"/>
          </reference>
        </references>
      </pivotArea>
    </format>
    <format dxfId="897">
      <pivotArea field="0" dataOnly="0" labelOnly="1" grandRow="1" outline="0" axis="axisRow" fieldPosition="0">
        <references count="1">
          <reference field="4294967294" count="1" selected="0">
            <x v="13"/>
          </reference>
        </references>
      </pivotArea>
    </format>
    <format dxfId="896">
      <pivotArea field="0" dataOnly="0" labelOnly="1" grandRow="1" outline="0" axis="axisRow" fieldPosition="0">
        <references count="1">
          <reference field="4294967294" count="1" selected="0">
            <x v="14"/>
          </reference>
        </references>
      </pivotArea>
    </format>
    <format dxfId="895">
      <pivotArea field="0" dataOnly="0" labelOnly="1" grandRow="1" outline="0" axis="axisRow" fieldPosition="0">
        <references count="1">
          <reference field="4294967294" count="1" selected="0">
            <x v="15"/>
          </reference>
        </references>
      </pivotArea>
    </format>
    <format dxfId="894">
      <pivotArea field="0" dataOnly="0" labelOnly="1" grandRow="1" outline="0" axis="axisRow" fieldPosition="0">
        <references count="1">
          <reference field="4294967294" count="1" selected="0">
            <x v="16"/>
          </reference>
        </references>
      </pivotArea>
    </format>
    <format dxfId="893">
      <pivotArea field="0" dataOnly="0" labelOnly="1" grandRow="1" outline="0" axis="axisRow" fieldPosition="0">
        <references count="1">
          <reference field="4294967294" count="1" selected="0">
            <x v="17"/>
          </reference>
        </references>
      </pivotArea>
    </format>
    <format dxfId="892">
      <pivotArea field="0" dataOnly="0" labelOnly="1" grandRow="1" outline="0" axis="axisRow" fieldPosition="0">
        <references count="1">
          <reference field="4294967294" count="1" selected="0">
            <x v="18"/>
          </reference>
        </references>
      </pivotArea>
    </format>
    <format dxfId="891">
      <pivotArea field="0" dataOnly="0" labelOnly="1" grandRow="1" outline="0" axis="axisRow" fieldPosition="0">
        <references count="1">
          <reference field="4294967294" count="1" selected="0">
            <x v="19"/>
          </reference>
        </references>
      </pivotArea>
    </format>
    <format dxfId="890">
      <pivotArea field="0" dataOnly="0" labelOnly="1" grandRow="1" outline="0" axis="axisRow" fieldPosition="0">
        <references count="1">
          <reference field="4294967294" count="1" selected="0">
            <x v="20"/>
          </reference>
        </references>
      </pivotArea>
    </format>
    <format dxfId="889">
      <pivotArea field="0" dataOnly="0" labelOnly="1" grandRow="1" outline="0" axis="axisRow" fieldPosition="0">
        <references count="1">
          <reference field="4294967294" count="1" selected="0">
            <x v="21"/>
          </reference>
        </references>
      </pivotArea>
    </format>
    <format dxfId="888">
      <pivotArea field="0" dataOnly="0" labelOnly="1" grandRow="1" outline="0" axis="axisRow" fieldPosition="0">
        <references count="1">
          <reference field="4294967294" count="1" selected="0">
            <x v="22"/>
          </reference>
        </references>
      </pivotArea>
    </format>
    <format dxfId="887">
      <pivotArea field="0" dataOnly="0" labelOnly="1" grandRow="1" outline="0" axis="axisRow" fieldPosition="0">
        <references count="1">
          <reference field="4294967294" count="1" selected="0">
            <x v="23"/>
          </reference>
        </references>
      </pivotArea>
    </format>
    <format dxfId="886">
      <pivotArea field="0" dataOnly="0" labelOnly="1" grandRow="1" outline="0" axis="axisRow" fieldPosition="0">
        <references count="1">
          <reference field="4294967294" count="1" selected="0">
            <x v="24"/>
          </reference>
        </references>
      </pivotArea>
    </format>
    <format dxfId="885">
      <pivotArea field="0" dataOnly="0" labelOnly="1" grandRow="1" outline="0" axis="axisRow" fieldPosition="0">
        <references count="1">
          <reference field="4294967294" count="1" selected="0">
            <x v="25"/>
          </reference>
        </references>
      </pivotArea>
    </format>
    <format dxfId="884">
      <pivotArea field="0" dataOnly="0" labelOnly="1" grandRow="1" outline="0" axis="axisRow" fieldPosition="0">
        <references count="1">
          <reference field="4294967294" count="1" selected="0">
            <x v="26"/>
          </reference>
        </references>
      </pivotArea>
    </format>
    <format dxfId="883">
      <pivotArea field="0" dataOnly="0" labelOnly="1" grandRow="1" outline="0" axis="axisRow" fieldPosition="0">
        <references count="1">
          <reference field="4294967294" count="1" selected="0">
            <x v="27"/>
          </reference>
        </references>
      </pivotArea>
    </format>
    <format dxfId="882">
      <pivotArea field="0" dataOnly="0" labelOnly="1" grandRow="1" outline="0" axis="axisRow" fieldPosition="0">
        <references count="1">
          <reference field="4294967294" count="1" selected="0">
            <x v="28"/>
          </reference>
        </references>
      </pivotArea>
    </format>
    <format dxfId="881">
      <pivotArea field="0" dataOnly="0" labelOnly="1" grandRow="1" outline="0" axis="axisRow" fieldPosition="0">
        <references count="1">
          <reference field="4294967294" count="1" selected="0">
            <x v="29"/>
          </reference>
        </references>
      </pivotArea>
    </format>
    <format dxfId="880">
      <pivotArea field="0" dataOnly="0" labelOnly="1" grandRow="1" outline="0" axis="axisRow" fieldPosition="0">
        <references count="1">
          <reference field="4294967294" count="1" selected="0">
            <x v="30"/>
          </reference>
        </references>
      </pivotArea>
    </format>
    <format dxfId="879">
      <pivotArea field="0" dataOnly="0" labelOnly="1" grandRow="1" outline="0" axis="axisRow" fieldPosition="0">
        <references count="1">
          <reference field="4294967294" count="1" selected="0">
            <x v="31"/>
          </reference>
        </references>
      </pivotArea>
    </format>
    <format dxfId="878">
      <pivotArea field="0" dataOnly="0" labelOnly="1" grandRow="1" outline="0" axis="axisRow" fieldPosition="0">
        <references count="1">
          <reference field="4294967294" count="1" selected="0">
            <x v="32"/>
          </reference>
        </references>
      </pivotArea>
    </format>
    <format dxfId="877">
      <pivotArea field="0" dataOnly="0" labelOnly="1" grandRow="1" outline="0" axis="axisRow" fieldPosition="0">
        <references count="1">
          <reference field="4294967294" count="1" selected="0">
            <x v="33"/>
          </reference>
        </references>
      </pivotArea>
    </format>
    <format dxfId="876">
      <pivotArea field="0" dataOnly="0" labelOnly="1" grandRow="1" outline="0" axis="axisRow" fieldPosition="0">
        <references count="1">
          <reference field="4294967294" count="1" selected="0">
            <x v="34"/>
          </reference>
        </references>
      </pivotArea>
    </format>
    <format dxfId="875">
      <pivotArea field="0" dataOnly="0" labelOnly="1" grandRow="1" outline="0" axis="axisRow" fieldPosition="0">
        <references count="1">
          <reference field="4294967294" count="1" selected="0">
            <x v="35"/>
          </reference>
        </references>
      </pivotArea>
    </format>
    <format dxfId="874">
      <pivotArea field="0" dataOnly="0" labelOnly="1" grandRow="1" outline="0" axis="axisRow" fieldPosition="0">
        <references count="1">
          <reference field="4294967294" count="1" selected="0">
            <x v="0"/>
          </reference>
        </references>
      </pivotArea>
    </format>
    <format dxfId="873">
      <pivotArea field="0" dataOnly="0" labelOnly="1" grandRow="1" outline="0" axis="axisRow" fieldPosition="0">
        <references count="1">
          <reference field="4294967294" count="1" selected="0">
            <x v="1"/>
          </reference>
        </references>
      </pivotArea>
    </format>
    <format dxfId="872">
      <pivotArea field="0" dataOnly="0" labelOnly="1" grandRow="1" outline="0" axis="axisRow" fieldPosition="0">
        <references count="1">
          <reference field="4294967294" count="1" selected="0">
            <x v="2"/>
          </reference>
        </references>
      </pivotArea>
    </format>
    <format dxfId="871">
      <pivotArea field="0" dataOnly="0" labelOnly="1" grandRow="1" outline="0" axis="axisRow" fieldPosition="0">
        <references count="1">
          <reference field="4294967294" count="1" selected="0">
            <x v="3"/>
          </reference>
        </references>
      </pivotArea>
    </format>
    <format dxfId="870">
      <pivotArea field="0" dataOnly="0" labelOnly="1" grandRow="1" outline="0" axis="axisRow" fieldPosition="0">
        <references count="1">
          <reference field="4294967294" count="1" selected="0">
            <x v="4"/>
          </reference>
        </references>
      </pivotArea>
    </format>
    <format dxfId="869">
      <pivotArea field="0" dataOnly="0" labelOnly="1" grandRow="1" outline="0" axis="axisRow" fieldPosition="0">
        <references count="1">
          <reference field="4294967294" count="1" selected="0">
            <x v="5"/>
          </reference>
        </references>
      </pivotArea>
    </format>
    <format dxfId="868">
      <pivotArea field="0" dataOnly="0" labelOnly="1" grandRow="1" outline="0" axis="axisRow" fieldPosition="0">
        <references count="1">
          <reference field="4294967294" count="1" selected="0">
            <x v="6"/>
          </reference>
        </references>
      </pivotArea>
    </format>
    <format dxfId="867">
      <pivotArea field="0" dataOnly="0" labelOnly="1" grandRow="1" outline="0" axis="axisRow" fieldPosition="0">
        <references count="1">
          <reference field="4294967294" count="1" selected="0">
            <x v="7"/>
          </reference>
        </references>
      </pivotArea>
    </format>
    <format dxfId="866">
      <pivotArea field="0" dataOnly="0" labelOnly="1" grandRow="1" outline="0" axis="axisRow" fieldPosition="0">
        <references count="1">
          <reference field="4294967294" count="1" selected="0">
            <x v="8"/>
          </reference>
        </references>
      </pivotArea>
    </format>
    <format dxfId="865">
      <pivotArea field="0" dataOnly="0" labelOnly="1" grandRow="1" outline="0" axis="axisRow" fieldPosition="0">
        <references count="1">
          <reference field="4294967294" count="1" selected="0">
            <x v="9"/>
          </reference>
        </references>
      </pivotArea>
    </format>
    <format dxfId="864">
      <pivotArea field="0" dataOnly="0" labelOnly="1" grandRow="1" outline="0" axis="axisRow" fieldPosition="0">
        <references count="1">
          <reference field="4294967294" count="1" selected="0">
            <x v="10"/>
          </reference>
        </references>
      </pivotArea>
    </format>
    <format dxfId="863">
      <pivotArea field="0" dataOnly="0" labelOnly="1" grandRow="1" outline="0" axis="axisRow" fieldPosition="0">
        <references count="1">
          <reference field="4294967294" count="1" selected="0">
            <x v="11"/>
          </reference>
        </references>
      </pivotArea>
    </format>
    <format dxfId="862">
      <pivotArea field="0" dataOnly="0" labelOnly="1" grandRow="1" outline="0" axis="axisRow" fieldPosition="0">
        <references count="1">
          <reference field="4294967294" count="1" selected="0">
            <x v="12"/>
          </reference>
        </references>
      </pivotArea>
    </format>
    <format dxfId="861">
      <pivotArea field="0" dataOnly="0" labelOnly="1" grandRow="1" outline="0" axis="axisRow" fieldPosition="0">
        <references count="1">
          <reference field="4294967294" count="1" selected="0">
            <x v="13"/>
          </reference>
        </references>
      </pivotArea>
    </format>
    <format dxfId="860">
      <pivotArea field="0" dataOnly="0" labelOnly="1" grandRow="1" outline="0" axis="axisRow" fieldPosition="0">
        <references count="1">
          <reference field="4294967294" count="1" selected="0">
            <x v="14"/>
          </reference>
        </references>
      </pivotArea>
    </format>
    <format dxfId="859">
      <pivotArea field="0" dataOnly="0" labelOnly="1" grandRow="1" outline="0" axis="axisRow" fieldPosition="0">
        <references count="1">
          <reference field="4294967294" count="1" selected="0">
            <x v="15"/>
          </reference>
        </references>
      </pivotArea>
    </format>
    <format dxfId="858">
      <pivotArea field="0" dataOnly="0" labelOnly="1" grandRow="1" outline="0" axis="axisRow" fieldPosition="0">
        <references count="1">
          <reference field="4294967294" count="1" selected="0">
            <x v="16"/>
          </reference>
        </references>
      </pivotArea>
    </format>
    <format dxfId="857">
      <pivotArea field="0" dataOnly="0" labelOnly="1" grandRow="1" outline="0" axis="axisRow" fieldPosition="0">
        <references count="1">
          <reference field="4294967294" count="1" selected="0">
            <x v="17"/>
          </reference>
        </references>
      </pivotArea>
    </format>
    <format dxfId="856">
      <pivotArea field="0" dataOnly="0" labelOnly="1" grandRow="1" outline="0" axis="axisRow" fieldPosition="0">
        <references count="1">
          <reference field="4294967294" count="1" selected="0">
            <x v="18"/>
          </reference>
        </references>
      </pivotArea>
    </format>
    <format dxfId="855">
      <pivotArea field="0" dataOnly="0" labelOnly="1" grandRow="1" outline="0" axis="axisRow" fieldPosition="0">
        <references count="1">
          <reference field="4294967294" count="1" selected="0">
            <x v="19"/>
          </reference>
        </references>
      </pivotArea>
    </format>
    <format dxfId="854">
      <pivotArea field="0" dataOnly="0" labelOnly="1" grandRow="1" outline="0" axis="axisRow" fieldPosition="0">
        <references count="1">
          <reference field="4294967294" count="1" selected="0">
            <x v="20"/>
          </reference>
        </references>
      </pivotArea>
    </format>
    <format dxfId="853">
      <pivotArea field="0" dataOnly="0" labelOnly="1" grandRow="1" outline="0" axis="axisRow" fieldPosition="0">
        <references count="1">
          <reference field="4294967294" count="1" selected="0">
            <x v="21"/>
          </reference>
        </references>
      </pivotArea>
    </format>
    <format dxfId="852">
      <pivotArea field="0" dataOnly="0" labelOnly="1" grandRow="1" outline="0" axis="axisRow" fieldPosition="0">
        <references count="1">
          <reference field="4294967294" count="1" selected="0">
            <x v="22"/>
          </reference>
        </references>
      </pivotArea>
    </format>
    <format dxfId="851">
      <pivotArea field="0" dataOnly="0" labelOnly="1" grandRow="1" outline="0" axis="axisRow" fieldPosition="0">
        <references count="1">
          <reference field="4294967294" count="1" selected="0">
            <x v="23"/>
          </reference>
        </references>
      </pivotArea>
    </format>
    <format dxfId="850">
      <pivotArea field="0" dataOnly="0" labelOnly="1" grandRow="1" outline="0" axis="axisRow" fieldPosition="0">
        <references count="1">
          <reference field="4294967294" count="1" selected="0">
            <x v="24"/>
          </reference>
        </references>
      </pivotArea>
    </format>
    <format dxfId="849">
      <pivotArea field="0" dataOnly="0" labelOnly="1" grandRow="1" outline="0" axis="axisRow" fieldPosition="0">
        <references count="1">
          <reference field="4294967294" count="1" selected="0">
            <x v="25"/>
          </reference>
        </references>
      </pivotArea>
    </format>
    <format dxfId="848">
      <pivotArea field="0" dataOnly="0" labelOnly="1" grandRow="1" outline="0" axis="axisRow" fieldPosition="0">
        <references count="1">
          <reference field="4294967294" count="1" selected="0">
            <x v="26"/>
          </reference>
        </references>
      </pivotArea>
    </format>
    <format dxfId="847">
      <pivotArea field="0" dataOnly="0" labelOnly="1" grandRow="1" outline="0" axis="axisRow" fieldPosition="0">
        <references count="1">
          <reference field="4294967294" count="1" selected="0">
            <x v="27"/>
          </reference>
        </references>
      </pivotArea>
    </format>
    <format dxfId="846">
      <pivotArea field="0" dataOnly="0" labelOnly="1" grandRow="1" outline="0" axis="axisRow" fieldPosition="0">
        <references count="1">
          <reference field="4294967294" count="1" selected="0">
            <x v="28"/>
          </reference>
        </references>
      </pivotArea>
    </format>
    <format dxfId="845">
      <pivotArea field="0" dataOnly="0" labelOnly="1" grandRow="1" outline="0" axis="axisRow" fieldPosition="0">
        <references count="1">
          <reference field="4294967294" count="1" selected="0">
            <x v="29"/>
          </reference>
        </references>
      </pivotArea>
    </format>
    <format dxfId="844">
      <pivotArea field="0" dataOnly="0" labelOnly="1" grandRow="1" outline="0" axis="axisRow" fieldPosition="0">
        <references count="1">
          <reference field="4294967294" count="1" selected="0">
            <x v="30"/>
          </reference>
        </references>
      </pivotArea>
    </format>
    <format dxfId="843">
      <pivotArea field="0" dataOnly="0" labelOnly="1" grandRow="1" outline="0" axis="axisRow" fieldPosition="0">
        <references count="1">
          <reference field="4294967294" count="1" selected="0">
            <x v="31"/>
          </reference>
        </references>
      </pivotArea>
    </format>
    <format dxfId="842">
      <pivotArea field="0" dataOnly="0" labelOnly="1" grandRow="1" outline="0" axis="axisRow" fieldPosition="0">
        <references count="1">
          <reference field="4294967294" count="1" selected="0">
            <x v="32"/>
          </reference>
        </references>
      </pivotArea>
    </format>
    <format dxfId="841">
      <pivotArea field="0" dataOnly="0" labelOnly="1" grandRow="1" outline="0" axis="axisRow" fieldPosition="0">
        <references count="1">
          <reference field="4294967294" count="1" selected="0">
            <x v="33"/>
          </reference>
        </references>
      </pivotArea>
    </format>
    <format dxfId="840">
      <pivotArea field="0" dataOnly="0" labelOnly="1" grandRow="1" outline="0" axis="axisRow" fieldPosition="0">
        <references count="1">
          <reference field="4294967294" count="1" selected="0">
            <x v="34"/>
          </reference>
        </references>
      </pivotArea>
    </format>
    <format dxfId="839">
      <pivotArea field="0" dataOnly="0" labelOnly="1" grandRow="1" outline="0" axis="axisRow" fieldPosition="0">
        <references count="1">
          <reference field="4294967294" count="1" selected="0">
            <x v="35"/>
          </reference>
        </references>
      </pivotArea>
    </format>
    <format dxfId="838">
      <pivotArea field="0" dataOnly="0" labelOnly="1" grandRow="1" outline="0" axis="axisRow" fieldPosition="0">
        <references count="1">
          <reference field="4294967294" count="1" selected="0">
            <x v="0"/>
          </reference>
        </references>
      </pivotArea>
    </format>
    <format dxfId="837">
      <pivotArea field="0" dataOnly="0" labelOnly="1" grandRow="1" outline="0" axis="axisRow" fieldPosition="0">
        <references count="1">
          <reference field="4294967294" count="1" selected="0">
            <x v="1"/>
          </reference>
        </references>
      </pivotArea>
    </format>
    <format dxfId="836">
      <pivotArea field="0" dataOnly="0" labelOnly="1" grandRow="1" outline="0" axis="axisRow" fieldPosition="0">
        <references count="1">
          <reference field="4294967294" count="1" selected="0">
            <x v="2"/>
          </reference>
        </references>
      </pivotArea>
    </format>
    <format dxfId="835">
      <pivotArea field="0" dataOnly="0" labelOnly="1" grandRow="1" outline="0" axis="axisRow" fieldPosition="0">
        <references count="1">
          <reference field="4294967294" count="1" selected="0">
            <x v="3"/>
          </reference>
        </references>
      </pivotArea>
    </format>
    <format dxfId="834">
      <pivotArea field="0" dataOnly="0" labelOnly="1" grandRow="1" outline="0" axis="axisRow" fieldPosition="0">
        <references count="1">
          <reference field="4294967294" count="1" selected="0">
            <x v="4"/>
          </reference>
        </references>
      </pivotArea>
    </format>
    <format dxfId="833">
      <pivotArea field="0" dataOnly="0" labelOnly="1" grandRow="1" outline="0" axis="axisRow" fieldPosition="0">
        <references count="1">
          <reference field="4294967294" count="1" selected="0">
            <x v="5"/>
          </reference>
        </references>
      </pivotArea>
    </format>
    <format dxfId="832">
      <pivotArea field="0" dataOnly="0" labelOnly="1" grandRow="1" outline="0" axis="axisRow" fieldPosition="0">
        <references count="1">
          <reference field="4294967294" count="1" selected="0">
            <x v="6"/>
          </reference>
        </references>
      </pivotArea>
    </format>
    <format dxfId="831">
      <pivotArea field="0" dataOnly="0" labelOnly="1" grandRow="1" outline="0" axis="axisRow" fieldPosition="0">
        <references count="1">
          <reference field="4294967294" count="1" selected="0">
            <x v="7"/>
          </reference>
        </references>
      </pivotArea>
    </format>
    <format dxfId="830">
      <pivotArea field="0" dataOnly="0" labelOnly="1" grandRow="1" outline="0" axis="axisRow" fieldPosition="0">
        <references count="1">
          <reference field="4294967294" count="1" selected="0">
            <x v="8"/>
          </reference>
        </references>
      </pivotArea>
    </format>
    <format dxfId="829">
      <pivotArea field="0" dataOnly="0" labelOnly="1" grandRow="1" outline="0" axis="axisRow" fieldPosition="0">
        <references count="1">
          <reference field="4294967294" count="1" selected="0">
            <x v="9"/>
          </reference>
        </references>
      </pivotArea>
    </format>
    <format dxfId="828">
      <pivotArea field="0" dataOnly="0" labelOnly="1" grandRow="1" outline="0" axis="axisRow" fieldPosition="0">
        <references count="1">
          <reference field="4294967294" count="1" selected="0">
            <x v="10"/>
          </reference>
        </references>
      </pivotArea>
    </format>
    <format dxfId="827">
      <pivotArea field="0" dataOnly="0" labelOnly="1" grandRow="1" outline="0" axis="axisRow" fieldPosition="0">
        <references count="1">
          <reference field="4294967294" count="1" selected="0">
            <x v="11"/>
          </reference>
        </references>
      </pivotArea>
    </format>
    <format dxfId="826">
      <pivotArea field="0" dataOnly="0" labelOnly="1" grandRow="1" outline="0" axis="axisRow" fieldPosition="0">
        <references count="1">
          <reference field="4294967294" count="1" selected="0">
            <x v="12"/>
          </reference>
        </references>
      </pivotArea>
    </format>
    <format dxfId="825">
      <pivotArea field="0" dataOnly="0" labelOnly="1" grandRow="1" outline="0" axis="axisRow" fieldPosition="0">
        <references count="1">
          <reference field="4294967294" count="1" selected="0">
            <x v="13"/>
          </reference>
        </references>
      </pivotArea>
    </format>
    <format dxfId="824">
      <pivotArea field="0" dataOnly="0" labelOnly="1" grandRow="1" outline="0" axis="axisRow" fieldPosition="0">
        <references count="1">
          <reference field="4294967294" count="1" selected="0">
            <x v="14"/>
          </reference>
        </references>
      </pivotArea>
    </format>
    <format dxfId="823">
      <pivotArea field="0" dataOnly="0" labelOnly="1" grandRow="1" outline="0" axis="axisRow" fieldPosition="0">
        <references count="1">
          <reference field="4294967294" count="1" selected="0">
            <x v="15"/>
          </reference>
        </references>
      </pivotArea>
    </format>
    <format dxfId="822">
      <pivotArea field="0" dataOnly="0" labelOnly="1" grandRow="1" outline="0" axis="axisRow" fieldPosition="0">
        <references count="1">
          <reference field="4294967294" count="1" selected="0">
            <x v="16"/>
          </reference>
        </references>
      </pivotArea>
    </format>
    <format dxfId="821">
      <pivotArea field="0" dataOnly="0" labelOnly="1" grandRow="1" outline="0" axis="axisRow" fieldPosition="0">
        <references count="1">
          <reference field="4294967294" count="1" selected="0">
            <x v="17"/>
          </reference>
        </references>
      </pivotArea>
    </format>
    <format dxfId="820">
      <pivotArea field="0" dataOnly="0" labelOnly="1" grandRow="1" outline="0" axis="axisRow" fieldPosition="0">
        <references count="1">
          <reference field="4294967294" count="1" selected="0">
            <x v="18"/>
          </reference>
        </references>
      </pivotArea>
    </format>
    <format dxfId="819">
      <pivotArea field="0" dataOnly="0" labelOnly="1" grandRow="1" outline="0" axis="axisRow" fieldPosition="0">
        <references count="1">
          <reference field="4294967294" count="1" selected="0">
            <x v="19"/>
          </reference>
        </references>
      </pivotArea>
    </format>
    <format dxfId="818">
      <pivotArea field="0" dataOnly="0" labelOnly="1" grandRow="1" outline="0" axis="axisRow" fieldPosition="0">
        <references count="1">
          <reference field="4294967294" count="1" selected="0">
            <x v="20"/>
          </reference>
        </references>
      </pivotArea>
    </format>
    <format dxfId="817">
      <pivotArea field="0" dataOnly="0" labelOnly="1" grandRow="1" outline="0" axis="axisRow" fieldPosition="0">
        <references count="1">
          <reference field="4294967294" count="1" selected="0">
            <x v="21"/>
          </reference>
        </references>
      </pivotArea>
    </format>
    <format dxfId="816">
      <pivotArea field="0" dataOnly="0" labelOnly="1" grandRow="1" outline="0" axis="axisRow" fieldPosition="0">
        <references count="1">
          <reference field="4294967294" count="1" selected="0">
            <x v="22"/>
          </reference>
        </references>
      </pivotArea>
    </format>
    <format dxfId="815">
      <pivotArea field="0" dataOnly="0" labelOnly="1" grandRow="1" outline="0" axis="axisRow" fieldPosition="0">
        <references count="1">
          <reference field="4294967294" count="1" selected="0">
            <x v="23"/>
          </reference>
        </references>
      </pivotArea>
    </format>
    <format dxfId="814">
      <pivotArea field="0" dataOnly="0" labelOnly="1" grandRow="1" outline="0" axis="axisRow" fieldPosition="0">
        <references count="1">
          <reference field="4294967294" count="1" selected="0">
            <x v="24"/>
          </reference>
        </references>
      </pivotArea>
    </format>
    <format dxfId="813">
      <pivotArea field="0" dataOnly="0" labelOnly="1" grandRow="1" outline="0" axis="axisRow" fieldPosition="0">
        <references count="1">
          <reference field="4294967294" count="1" selected="0">
            <x v="25"/>
          </reference>
        </references>
      </pivotArea>
    </format>
    <format dxfId="812">
      <pivotArea field="0" dataOnly="0" labelOnly="1" grandRow="1" outline="0" axis="axisRow" fieldPosition="0">
        <references count="1">
          <reference field="4294967294" count="1" selected="0">
            <x v="26"/>
          </reference>
        </references>
      </pivotArea>
    </format>
    <format dxfId="811">
      <pivotArea field="0" dataOnly="0" labelOnly="1" grandRow="1" outline="0" axis="axisRow" fieldPosition="0">
        <references count="1">
          <reference field="4294967294" count="1" selected="0">
            <x v="27"/>
          </reference>
        </references>
      </pivotArea>
    </format>
    <format dxfId="810">
      <pivotArea field="0" dataOnly="0" labelOnly="1" grandRow="1" outline="0" axis="axisRow" fieldPosition="0">
        <references count="1">
          <reference field="4294967294" count="1" selected="0">
            <x v="28"/>
          </reference>
        </references>
      </pivotArea>
    </format>
    <format dxfId="809">
      <pivotArea field="0" dataOnly="0" labelOnly="1" grandRow="1" outline="0" axis="axisRow" fieldPosition="0">
        <references count="1">
          <reference field="4294967294" count="1" selected="0">
            <x v="29"/>
          </reference>
        </references>
      </pivotArea>
    </format>
    <format dxfId="808">
      <pivotArea field="0" dataOnly="0" labelOnly="1" grandRow="1" outline="0" axis="axisRow" fieldPosition="0">
        <references count="1">
          <reference field="4294967294" count="1" selected="0">
            <x v="30"/>
          </reference>
        </references>
      </pivotArea>
    </format>
    <format dxfId="807">
      <pivotArea field="0" dataOnly="0" labelOnly="1" grandRow="1" outline="0" axis="axisRow" fieldPosition="0">
        <references count="1">
          <reference field="4294967294" count="1" selected="0">
            <x v="31"/>
          </reference>
        </references>
      </pivotArea>
    </format>
    <format dxfId="806">
      <pivotArea field="0" dataOnly="0" labelOnly="1" grandRow="1" outline="0" axis="axisRow" fieldPosition="0">
        <references count="1">
          <reference field="4294967294" count="1" selected="0">
            <x v="32"/>
          </reference>
        </references>
      </pivotArea>
    </format>
    <format dxfId="805">
      <pivotArea field="0" dataOnly="0" labelOnly="1" grandRow="1" outline="0" axis="axisRow" fieldPosition="0">
        <references count="1">
          <reference field="4294967294" count="1" selected="0">
            <x v="33"/>
          </reference>
        </references>
      </pivotArea>
    </format>
    <format dxfId="804">
      <pivotArea field="0" dataOnly="0" labelOnly="1" grandRow="1" outline="0" axis="axisRow" fieldPosition="0">
        <references count="1">
          <reference field="4294967294" count="1" selected="0">
            <x v="34"/>
          </reference>
        </references>
      </pivotArea>
    </format>
    <format dxfId="803">
      <pivotArea field="0" dataOnly="0" labelOnly="1" grandRow="1" outline="0" axis="axisRow" fieldPosition="0">
        <references count="1">
          <reference field="4294967294" count="1" selected="0">
            <x v="35"/>
          </reference>
        </references>
      </pivotArea>
    </format>
    <format dxfId="802">
      <pivotArea field="0" dataOnly="0" labelOnly="1" grandRow="1" outline="0" axis="axisRow" fieldPosition="0">
        <references count="1">
          <reference field="4294967294" count="1" selected="0">
            <x v="0"/>
          </reference>
        </references>
      </pivotArea>
    </format>
    <format dxfId="801">
      <pivotArea field="0" dataOnly="0" labelOnly="1" grandRow="1" outline="0" axis="axisRow" fieldPosition="0">
        <references count="1">
          <reference field="4294967294" count="1" selected="0">
            <x v="1"/>
          </reference>
        </references>
      </pivotArea>
    </format>
    <format dxfId="800">
      <pivotArea field="0" dataOnly="0" labelOnly="1" grandRow="1" outline="0" axis="axisRow" fieldPosition="0">
        <references count="1">
          <reference field="4294967294" count="1" selected="0">
            <x v="2"/>
          </reference>
        </references>
      </pivotArea>
    </format>
    <format dxfId="799">
      <pivotArea field="0" dataOnly="0" labelOnly="1" grandRow="1" outline="0" axis="axisRow" fieldPosition="0">
        <references count="1">
          <reference field="4294967294" count="1" selected="0">
            <x v="3"/>
          </reference>
        </references>
      </pivotArea>
    </format>
    <format dxfId="798">
      <pivotArea field="0" dataOnly="0" labelOnly="1" grandRow="1" outline="0" axis="axisRow" fieldPosition="0">
        <references count="1">
          <reference field="4294967294" count="1" selected="0">
            <x v="4"/>
          </reference>
        </references>
      </pivotArea>
    </format>
    <format dxfId="797">
      <pivotArea field="0" dataOnly="0" labelOnly="1" grandRow="1" outline="0" axis="axisRow" fieldPosition="0">
        <references count="1">
          <reference field="4294967294" count="1" selected="0">
            <x v="5"/>
          </reference>
        </references>
      </pivotArea>
    </format>
    <format dxfId="796">
      <pivotArea field="0" dataOnly="0" labelOnly="1" grandRow="1" outline="0" axis="axisRow" fieldPosition="0">
        <references count="1">
          <reference field="4294967294" count="1" selected="0">
            <x v="6"/>
          </reference>
        </references>
      </pivotArea>
    </format>
    <format dxfId="795">
      <pivotArea field="0" dataOnly="0" labelOnly="1" grandRow="1" outline="0" axis="axisRow" fieldPosition="0">
        <references count="1">
          <reference field="4294967294" count="1" selected="0">
            <x v="7"/>
          </reference>
        </references>
      </pivotArea>
    </format>
    <format dxfId="794">
      <pivotArea field="0" dataOnly="0" labelOnly="1" grandRow="1" outline="0" axis="axisRow" fieldPosition="0">
        <references count="1">
          <reference field="4294967294" count="1" selected="0">
            <x v="8"/>
          </reference>
        </references>
      </pivotArea>
    </format>
    <format dxfId="793">
      <pivotArea field="0" dataOnly="0" labelOnly="1" grandRow="1" outline="0" axis="axisRow" fieldPosition="0">
        <references count="1">
          <reference field="4294967294" count="1" selected="0">
            <x v="9"/>
          </reference>
        </references>
      </pivotArea>
    </format>
    <format dxfId="792">
      <pivotArea field="0" dataOnly="0" labelOnly="1" grandRow="1" outline="0" axis="axisRow" fieldPosition="0">
        <references count="1">
          <reference field="4294967294" count="1" selected="0">
            <x v="10"/>
          </reference>
        </references>
      </pivotArea>
    </format>
    <format dxfId="791">
      <pivotArea field="0" dataOnly="0" labelOnly="1" grandRow="1" outline="0" axis="axisRow" fieldPosition="0">
        <references count="1">
          <reference field="4294967294" count="1" selected="0">
            <x v="11"/>
          </reference>
        </references>
      </pivotArea>
    </format>
    <format dxfId="790">
      <pivotArea field="0" dataOnly="0" labelOnly="1" grandRow="1" outline="0" axis="axisRow" fieldPosition="0">
        <references count="1">
          <reference field="4294967294" count="1" selected="0">
            <x v="12"/>
          </reference>
        </references>
      </pivotArea>
    </format>
    <format dxfId="789">
      <pivotArea field="0" dataOnly="0" labelOnly="1" grandRow="1" outline="0" axis="axisRow" fieldPosition="0">
        <references count="1">
          <reference field="4294967294" count="1" selected="0">
            <x v="13"/>
          </reference>
        </references>
      </pivotArea>
    </format>
    <format dxfId="788">
      <pivotArea field="0" dataOnly="0" labelOnly="1" grandRow="1" outline="0" axis="axisRow" fieldPosition="0">
        <references count="1">
          <reference field="4294967294" count="1" selected="0">
            <x v="14"/>
          </reference>
        </references>
      </pivotArea>
    </format>
    <format dxfId="787">
      <pivotArea field="0" dataOnly="0" labelOnly="1" grandRow="1" outline="0" axis="axisRow" fieldPosition="0">
        <references count="1">
          <reference field="4294967294" count="1" selected="0">
            <x v="15"/>
          </reference>
        </references>
      </pivotArea>
    </format>
    <format dxfId="786">
      <pivotArea field="0" dataOnly="0" labelOnly="1" grandRow="1" outline="0" axis="axisRow" fieldPosition="0">
        <references count="1">
          <reference field="4294967294" count="1" selected="0">
            <x v="16"/>
          </reference>
        </references>
      </pivotArea>
    </format>
    <format dxfId="785">
      <pivotArea field="0" dataOnly="0" labelOnly="1" grandRow="1" outline="0" axis="axisRow" fieldPosition="0">
        <references count="1">
          <reference field="4294967294" count="1" selected="0">
            <x v="17"/>
          </reference>
        </references>
      </pivotArea>
    </format>
    <format dxfId="784">
      <pivotArea field="0" dataOnly="0" labelOnly="1" grandRow="1" outline="0" axis="axisRow" fieldPosition="0">
        <references count="1">
          <reference field="4294967294" count="1" selected="0">
            <x v="18"/>
          </reference>
        </references>
      </pivotArea>
    </format>
    <format dxfId="783">
      <pivotArea field="0" dataOnly="0" labelOnly="1" grandRow="1" outline="0" axis="axisRow" fieldPosition="0">
        <references count="1">
          <reference field="4294967294" count="1" selected="0">
            <x v="19"/>
          </reference>
        </references>
      </pivotArea>
    </format>
    <format dxfId="782">
      <pivotArea field="0" dataOnly="0" labelOnly="1" grandRow="1" outline="0" axis="axisRow" fieldPosition="0">
        <references count="1">
          <reference field="4294967294" count="1" selected="0">
            <x v="20"/>
          </reference>
        </references>
      </pivotArea>
    </format>
    <format dxfId="781">
      <pivotArea field="0" dataOnly="0" labelOnly="1" grandRow="1" outline="0" axis="axisRow" fieldPosition="0">
        <references count="1">
          <reference field="4294967294" count="1" selected="0">
            <x v="21"/>
          </reference>
        </references>
      </pivotArea>
    </format>
    <format dxfId="780">
      <pivotArea field="0" dataOnly="0" labelOnly="1" grandRow="1" outline="0" axis="axisRow" fieldPosition="0">
        <references count="1">
          <reference field="4294967294" count="1" selected="0">
            <x v="22"/>
          </reference>
        </references>
      </pivotArea>
    </format>
    <format dxfId="779">
      <pivotArea field="0" dataOnly="0" labelOnly="1" grandRow="1" outline="0" axis="axisRow" fieldPosition="0">
        <references count="1">
          <reference field="4294967294" count="1" selected="0">
            <x v="23"/>
          </reference>
        </references>
      </pivotArea>
    </format>
    <format dxfId="778">
      <pivotArea field="0" dataOnly="0" labelOnly="1" grandRow="1" outline="0" axis="axisRow" fieldPosition="0">
        <references count="1">
          <reference field="4294967294" count="1" selected="0">
            <x v="24"/>
          </reference>
        </references>
      </pivotArea>
    </format>
    <format dxfId="777">
      <pivotArea field="0" dataOnly="0" labelOnly="1" grandRow="1" outline="0" axis="axisRow" fieldPosition="0">
        <references count="1">
          <reference field="4294967294" count="1" selected="0">
            <x v="25"/>
          </reference>
        </references>
      </pivotArea>
    </format>
    <format dxfId="776">
      <pivotArea field="0" dataOnly="0" labelOnly="1" grandRow="1" outline="0" axis="axisRow" fieldPosition="0">
        <references count="1">
          <reference field="4294967294" count="1" selected="0">
            <x v="26"/>
          </reference>
        </references>
      </pivotArea>
    </format>
    <format dxfId="775">
      <pivotArea field="0" dataOnly="0" labelOnly="1" grandRow="1" outline="0" axis="axisRow" fieldPosition="0">
        <references count="1">
          <reference field="4294967294" count="1" selected="0">
            <x v="27"/>
          </reference>
        </references>
      </pivotArea>
    </format>
    <format dxfId="774">
      <pivotArea field="0" dataOnly="0" labelOnly="1" grandRow="1" outline="0" axis="axisRow" fieldPosition="0">
        <references count="1">
          <reference field="4294967294" count="1" selected="0">
            <x v="28"/>
          </reference>
        </references>
      </pivotArea>
    </format>
    <format dxfId="773">
      <pivotArea field="0" dataOnly="0" labelOnly="1" grandRow="1" outline="0" axis="axisRow" fieldPosition="0">
        <references count="1">
          <reference field="4294967294" count="1" selected="0">
            <x v="29"/>
          </reference>
        </references>
      </pivotArea>
    </format>
    <format dxfId="772">
      <pivotArea field="0" dataOnly="0" labelOnly="1" grandRow="1" outline="0" axis="axisRow" fieldPosition="0">
        <references count="1">
          <reference field="4294967294" count="1" selected="0">
            <x v="30"/>
          </reference>
        </references>
      </pivotArea>
    </format>
    <format dxfId="771">
      <pivotArea field="0" dataOnly="0" labelOnly="1" grandRow="1" outline="0" axis="axisRow" fieldPosition="0">
        <references count="1">
          <reference field="4294967294" count="1" selected="0">
            <x v="31"/>
          </reference>
        </references>
      </pivotArea>
    </format>
    <format dxfId="770">
      <pivotArea field="0" dataOnly="0" labelOnly="1" grandRow="1" outline="0" axis="axisRow" fieldPosition="0">
        <references count="1">
          <reference field="4294967294" count="1" selected="0">
            <x v="32"/>
          </reference>
        </references>
      </pivotArea>
    </format>
    <format dxfId="769">
      <pivotArea field="0" dataOnly="0" labelOnly="1" grandRow="1" outline="0" axis="axisRow" fieldPosition="0">
        <references count="1">
          <reference field="4294967294" count="1" selected="0">
            <x v="33"/>
          </reference>
        </references>
      </pivotArea>
    </format>
    <format dxfId="768">
      <pivotArea field="0" dataOnly="0" labelOnly="1" grandRow="1" outline="0" axis="axisRow" fieldPosition="0">
        <references count="1">
          <reference field="4294967294" count="1" selected="0">
            <x v="34"/>
          </reference>
        </references>
      </pivotArea>
    </format>
    <format dxfId="767">
      <pivotArea field="0" dataOnly="0" labelOnly="1" grandRow="1" outline="0" axis="axisRow" fieldPosition="0">
        <references count="1">
          <reference field="4294967294" count="1" selected="0">
            <x v="35"/>
          </reference>
        </references>
      </pivotArea>
    </format>
    <format dxfId="766">
      <pivotArea field="0" dataOnly="0" labelOnly="1" grandRow="1" outline="0" axis="axisRow" fieldPosition="0">
        <references count="1">
          <reference field="4294967294" count="1" selected="0">
            <x v="0"/>
          </reference>
        </references>
      </pivotArea>
    </format>
    <format dxfId="765">
      <pivotArea field="0" dataOnly="0" labelOnly="1" grandRow="1" outline="0" axis="axisRow" fieldPosition="0">
        <references count="1">
          <reference field="4294967294" count="1" selected="0">
            <x v="1"/>
          </reference>
        </references>
      </pivotArea>
    </format>
    <format dxfId="764">
      <pivotArea field="0" dataOnly="0" labelOnly="1" grandRow="1" outline="0" axis="axisRow" fieldPosition="0">
        <references count="1">
          <reference field="4294967294" count="1" selected="0">
            <x v="2"/>
          </reference>
        </references>
      </pivotArea>
    </format>
    <format dxfId="763">
      <pivotArea field="0" dataOnly="0" labelOnly="1" grandRow="1" outline="0" axis="axisRow" fieldPosition="0">
        <references count="1">
          <reference field="4294967294" count="1" selected="0">
            <x v="3"/>
          </reference>
        </references>
      </pivotArea>
    </format>
    <format dxfId="762">
      <pivotArea field="0" dataOnly="0" labelOnly="1" grandRow="1" outline="0" axis="axisRow" fieldPosition="0">
        <references count="1">
          <reference field="4294967294" count="1" selected="0">
            <x v="4"/>
          </reference>
        </references>
      </pivotArea>
    </format>
    <format dxfId="761">
      <pivotArea field="0" dataOnly="0" labelOnly="1" grandRow="1" outline="0" axis="axisRow" fieldPosition="0">
        <references count="1">
          <reference field="4294967294" count="1" selected="0">
            <x v="5"/>
          </reference>
        </references>
      </pivotArea>
    </format>
    <format dxfId="760">
      <pivotArea field="0" dataOnly="0" labelOnly="1" grandRow="1" outline="0" axis="axisRow" fieldPosition="0">
        <references count="1">
          <reference field="4294967294" count="1" selected="0">
            <x v="6"/>
          </reference>
        </references>
      </pivotArea>
    </format>
    <format dxfId="759">
      <pivotArea field="0" dataOnly="0" labelOnly="1" grandRow="1" outline="0" axis="axisRow" fieldPosition="0">
        <references count="1">
          <reference field="4294967294" count="1" selected="0">
            <x v="7"/>
          </reference>
        </references>
      </pivotArea>
    </format>
    <format dxfId="758">
      <pivotArea field="0" dataOnly="0" labelOnly="1" grandRow="1" outline="0" axis="axisRow" fieldPosition="0">
        <references count="1">
          <reference field="4294967294" count="1" selected="0">
            <x v="8"/>
          </reference>
        </references>
      </pivotArea>
    </format>
    <format dxfId="757">
      <pivotArea field="0" dataOnly="0" labelOnly="1" grandRow="1" outline="0" axis="axisRow" fieldPosition="0">
        <references count="1">
          <reference field="4294967294" count="1" selected="0">
            <x v="9"/>
          </reference>
        </references>
      </pivotArea>
    </format>
    <format dxfId="756">
      <pivotArea field="0" dataOnly="0" labelOnly="1" grandRow="1" outline="0" axis="axisRow" fieldPosition="0">
        <references count="1">
          <reference field="4294967294" count="1" selected="0">
            <x v="10"/>
          </reference>
        </references>
      </pivotArea>
    </format>
    <format dxfId="755">
      <pivotArea field="0" dataOnly="0" labelOnly="1" grandRow="1" outline="0" axis="axisRow" fieldPosition="0">
        <references count="1">
          <reference field="4294967294" count="1" selected="0">
            <x v="11"/>
          </reference>
        </references>
      </pivotArea>
    </format>
    <format dxfId="754">
      <pivotArea field="0" dataOnly="0" labelOnly="1" grandRow="1" outline="0" axis="axisRow" fieldPosition="0">
        <references count="1">
          <reference field="4294967294" count="1" selected="0">
            <x v="12"/>
          </reference>
        </references>
      </pivotArea>
    </format>
    <format dxfId="753">
      <pivotArea field="0" dataOnly="0" labelOnly="1" grandRow="1" outline="0" axis="axisRow" fieldPosition="0">
        <references count="1">
          <reference field="4294967294" count="1" selected="0">
            <x v="13"/>
          </reference>
        </references>
      </pivotArea>
    </format>
    <format dxfId="752">
      <pivotArea field="0" dataOnly="0" labelOnly="1" grandRow="1" outline="0" axis="axisRow" fieldPosition="0">
        <references count="1">
          <reference field="4294967294" count="1" selected="0">
            <x v="14"/>
          </reference>
        </references>
      </pivotArea>
    </format>
    <format dxfId="751">
      <pivotArea field="0" dataOnly="0" labelOnly="1" grandRow="1" outline="0" axis="axisRow" fieldPosition="0">
        <references count="1">
          <reference field="4294967294" count="1" selected="0">
            <x v="15"/>
          </reference>
        </references>
      </pivotArea>
    </format>
    <format dxfId="750">
      <pivotArea field="0" dataOnly="0" labelOnly="1" grandRow="1" outline="0" axis="axisRow" fieldPosition="0">
        <references count="1">
          <reference field="4294967294" count="1" selected="0">
            <x v="16"/>
          </reference>
        </references>
      </pivotArea>
    </format>
    <format dxfId="749">
      <pivotArea field="0" dataOnly="0" labelOnly="1" grandRow="1" outline="0" axis="axisRow" fieldPosition="0">
        <references count="1">
          <reference field="4294967294" count="1" selected="0">
            <x v="17"/>
          </reference>
        </references>
      </pivotArea>
    </format>
    <format dxfId="748">
      <pivotArea field="0" dataOnly="0" labelOnly="1" grandRow="1" outline="0" axis="axisRow" fieldPosition="0">
        <references count="1">
          <reference field="4294967294" count="1" selected="0">
            <x v="18"/>
          </reference>
        </references>
      </pivotArea>
    </format>
    <format dxfId="747">
      <pivotArea field="0" dataOnly="0" labelOnly="1" grandRow="1" outline="0" axis="axisRow" fieldPosition="0">
        <references count="1">
          <reference field="4294967294" count="1" selected="0">
            <x v="19"/>
          </reference>
        </references>
      </pivotArea>
    </format>
    <format dxfId="746">
      <pivotArea field="0" dataOnly="0" labelOnly="1" grandRow="1" outline="0" axis="axisRow" fieldPosition="0">
        <references count="1">
          <reference field="4294967294" count="1" selected="0">
            <x v="20"/>
          </reference>
        </references>
      </pivotArea>
    </format>
    <format dxfId="745">
      <pivotArea field="0" dataOnly="0" labelOnly="1" grandRow="1" outline="0" axis="axisRow" fieldPosition="0">
        <references count="1">
          <reference field="4294967294" count="1" selected="0">
            <x v="21"/>
          </reference>
        </references>
      </pivotArea>
    </format>
    <format dxfId="744">
      <pivotArea field="0" dataOnly="0" labelOnly="1" grandRow="1" outline="0" axis="axisRow" fieldPosition="0">
        <references count="1">
          <reference field="4294967294" count="1" selected="0">
            <x v="22"/>
          </reference>
        </references>
      </pivotArea>
    </format>
    <format dxfId="743">
      <pivotArea field="0" dataOnly="0" labelOnly="1" grandRow="1" outline="0" axis="axisRow" fieldPosition="0">
        <references count="1">
          <reference field="4294967294" count="1" selected="0">
            <x v="23"/>
          </reference>
        </references>
      </pivotArea>
    </format>
    <format dxfId="742">
      <pivotArea field="0" dataOnly="0" labelOnly="1" grandRow="1" outline="0" axis="axisRow" fieldPosition="0">
        <references count="1">
          <reference field="4294967294" count="1" selected="0">
            <x v="24"/>
          </reference>
        </references>
      </pivotArea>
    </format>
    <format dxfId="741">
      <pivotArea field="0" dataOnly="0" labelOnly="1" grandRow="1" outline="0" axis="axisRow" fieldPosition="0">
        <references count="1">
          <reference field="4294967294" count="1" selected="0">
            <x v="25"/>
          </reference>
        </references>
      </pivotArea>
    </format>
    <format dxfId="740">
      <pivotArea field="0" dataOnly="0" labelOnly="1" grandRow="1" outline="0" axis="axisRow" fieldPosition="0">
        <references count="1">
          <reference field="4294967294" count="1" selected="0">
            <x v="26"/>
          </reference>
        </references>
      </pivotArea>
    </format>
    <format dxfId="739">
      <pivotArea field="0" dataOnly="0" labelOnly="1" grandRow="1" outline="0" axis="axisRow" fieldPosition="0">
        <references count="1">
          <reference field="4294967294" count="1" selected="0">
            <x v="27"/>
          </reference>
        </references>
      </pivotArea>
    </format>
    <format dxfId="738">
      <pivotArea field="0" dataOnly="0" labelOnly="1" grandRow="1" outline="0" axis="axisRow" fieldPosition="0">
        <references count="1">
          <reference field="4294967294" count="1" selected="0">
            <x v="28"/>
          </reference>
        </references>
      </pivotArea>
    </format>
    <format dxfId="737">
      <pivotArea field="0" dataOnly="0" labelOnly="1" grandRow="1" outline="0" axis="axisRow" fieldPosition="0">
        <references count="1">
          <reference field="4294967294" count="1" selected="0">
            <x v="29"/>
          </reference>
        </references>
      </pivotArea>
    </format>
    <format dxfId="736">
      <pivotArea field="0" dataOnly="0" labelOnly="1" grandRow="1" outline="0" axis="axisRow" fieldPosition="0">
        <references count="1">
          <reference field="4294967294" count="1" selected="0">
            <x v="30"/>
          </reference>
        </references>
      </pivotArea>
    </format>
    <format dxfId="735">
      <pivotArea field="0" dataOnly="0" labelOnly="1" grandRow="1" outline="0" axis="axisRow" fieldPosition="0">
        <references count="1">
          <reference field="4294967294" count="1" selected="0">
            <x v="31"/>
          </reference>
        </references>
      </pivotArea>
    </format>
    <format dxfId="734">
      <pivotArea field="0" dataOnly="0" labelOnly="1" grandRow="1" outline="0" axis="axisRow" fieldPosition="0">
        <references count="1">
          <reference field="4294967294" count="1" selected="0">
            <x v="32"/>
          </reference>
        </references>
      </pivotArea>
    </format>
    <format dxfId="733">
      <pivotArea field="0" dataOnly="0" labelOnly="1" grandRow="1" outline="0" axis="axisRow" fieldPosition="0">
        <references count="1">
          <reference field="4294967294" count="1" selected="0">
            <x v="33"/>
          </reference>
        </references>
      </pivotArea>
    </format>
    <format dxfId="732">
      <pivotArea field="0" dataOnly="0" labelOnly="1" grandRow="1" outline="0" axis="axisRow" fieldPosition="0">
        <references count="1">
          <reference field="4294967294" count="1" selected="0">
            <x v="34"/>
          </reference>
        </references>
      </pivotArea>
    </format>
    <format dxfId="731">
      <pivotArea field="0" dataOnly="0" labelOnly="1" grandRow="1" outline="0" axis="axisRow" fieldPosition="0">
        <references count="1">
          <reference field="4294967294" count="1" selected="0">
            <x v="35"/>
          </reference>
        </references>
      </pivotArea>
    </format>
    <format dxfId="730">
      <pivotArea field="0" dataOnly="0" labelOnly="1" grandRow="1" outline="0" axis="axisRow" fieldPosition="0">
        <references count="1">
          <reference field="4294967294" count="1" selected="0">
            <x v="0"/>
          </reference>
        </references>
      </pivotArea>
    </format>
    <format dxfId="729">
      <pivotArea field="0" dataOnly="0" labelOnly="1" grandRow="1" outline="0" axis="axisRow" fieldPosition="0">
        <references count="1">
          <reference field="4294967294" count="1" selected="0">
            <x v="1"/>
          </reference>
        </references>
      </pivotArea>
    </format>
    <format dxfId="728">
      <pivotArea field="0" dataOnly="0" labelOnly="1" grandRow="1" outline="0" axis="axisRow" fieldPosition="0">
        <references count="1">
          <reference field="4294967294" count="1" selected="0">
            <x v="2"/>
          </reference>
        </references>
      </pivotArea>
    </format>
    <format dxfId="727">
      <pivotArea field="0" dataOnly="0" labelOnly="1" grandRow="1" outline="0" axis="axisRow" fieldPosition="0">
        <references count="1">
          <reference field="4294967294" count="1" selected="0">
            <x v="3"/>
          </reference>
        </references>
      </pivotArea>
    </format>
    <format dxfId="726">
      <pivotArea field="0" dataOnly="0" labelOnly="1" grandRow="1" outline="0" axis="axisRow" fieldPosition="0">
        <references count="1">
          <reference field="4294967294" count="1" selected="0">
            <x v="4"/>
          </reference>
        </references>
      </pivotArea>
    </format>
    <format dxfId="725">
      <pivotArea field="0" dataOnly="0" labelOnly="1" grandRow="1" outline="0" axis="axisRow" fieldPosition="0">
        <references count="1">
          <reference field="4294967294" count="1" selected="0">
            <x v="5"/>
          </reference>
        </references>
      </pivotArea>
    </format>
    <format dxfId="724">
      <pivotArea field="0" dataOnly="0" labelOnly="1" grandRow="1" outline="0" axis="axisRow" fieldPosition="0">
        <references count="1">
          <reference field="4294967294" count="1" selected="0">
            <x v="6"/>
          </reference>
        </references>
      </pivotArea>
    </format>
    <format dxfId="723">
      <pivotArea field="0" dataOnly="0" labelOnly="1" grandRow="1" outline="0" axis="axisRow" fieldPosition="0">
        <references count="1">
          <reference field="4294967294" count="1" selected="0">
            <x v="7"/>
          </reference>
        </references>
      </pivotArea>
    </format>
    <format dxfId="722">
      <pivotArea field="0" dataOnly="0" labelOnly="1" grandRow="1" outline="0" axis="axisRow" fieldPosition="0">
        <references count="1">
          <reference field="4294967294" count="1" selected="0">
            <x v="8"/>
          </reference>
        </references>
      </pivotArea>
    </format>
    <format dxfId="721">
      <pivotArea field="0" dataOnly="0" labelOnly="1" grandRow="1" outline="0" axis="axisRow" fieldPosition="0">
        <references count="1">
          <reference field="4294967294" count="1" selected="0">
            <x v="9"/>
          </reference>
        </references>
      </pivotArea>
    </format>
    <format dxfId="720">
      <pivotArea field="0" dataOnly="0" labelOnly="1" grandRow="1" outline="0" axis="axisRow" fieldPosition="0">
        <references count="1">
          <reference field="4294967294" count="1" selected="0">
            <x v="10"/>
          </reference>
        </references>
      </pivotArea>
    </format>
    <format dxfId="719">
      <pivotArea field="0" dataOnly="0" labelOnly="1" grandRow="1" outline="0" axis="axisRow" fieldPosition="0">
        <references count="1">
          <reference field="4294967294" count="1" selected="0">
            <x v="11"/>
          </reference>
        </references>
      </pivotArea>
    </format>
    <format dxfId="718">
      <pivotArea field="0" dataOnly="0" labelOnly="1" grandRow="1" outline="0" axis="axisRow" fieldPosition="0">
        <references count="1">
          <reference field="4294967294" count="1" selected="0">
            <x v="12"/>
          </reference>
        </references>
      </pivotArea>
    </format>
    <format dxfId="717">
      <pivotArea field="0" dataOnly="0" labelOnly="1" grandRow="1" outline="0" axis="axisRow" fieldPosition="0">
        <references count="1">
          <reference field="4294967294" count="1" selected="0">
            <x v="13"/>
          </reference>
        </references>
      </pivotArea>
    </format>
    <format dxfId="716">
      <pivotArea field="0" dataOnly="0" labelOnly="1" grandRow="1" outline="0" axis="axisRow" fieldPosition="0">
        <references count="1">
          <reference field="4294967294" count="1" selected="0">
            <x v="14"/>
          </reference>
        </references>
      </pivotArea>
    </format>
    <format dxfId="715">
      <pivotArea field="0" dataOnly="0" labelOnly="1" grandRow="1" outline="0" axis="axisRow" fieldPosition="0">
        <references count="1">
          <reference field="4294967294" count="1" selected="0">
            <x v="15"/>
          </reference>
        </references>
      </pivotArea>
    </format>
    <format dxfId="714">
      <pivotArea field="0" dataOnly="0" labelOnly="1" grandRow="1" outline="0" axis="axisRow" fieldPosition="0">
        <references count="1">
          <reference field="4294967294" count="1" selected="0">
            <x v="16"/>
          </reference>
        </references>
      </pivotArea>
    </format>
    <format dxfId="713">
      <pivotArea field="0" dataOnly="0" labelOnly="1" grandRow="1" outline="0" axis="axisRow" fieldPosition="0">
        <references count="1">
          <reference field="4294967294" count="1" selected="0">
            <x v="17"/>
          </reference>
        </references>
      </pivotArea>
    </format>
    <format dxfId="712">
      <pivotArea field="0" dataOnly="0" labelOnly="1" grandRow="1" outline="0" axis="axisRow" fieldPosition="0">
        <references count="1">
          <reference field="4294967294" count="1" selected="0">
            <x v="18"/>
          </reference>
        </references>
      </pivotArea>
    </format>
    <format dxfId="711">
      <pivotArea field="0" dataOnly="0" labelOnly="1" grandRow="1" outline="0" axis="axisRow" fieldPosition="0">
        <references count="1">
          <reference field="4294967294" count="1" selected="0">
            <x v="19"/>
          </reference>
        </references>
      </pivotArea>
    </format>
    <format dxfId="710">
      <pivotArea field="0" dataOnly="0" labelOnly="1" grandRow="1" outline="0" axis="axisRow" fieldPosition="0">
        <references count="1">
          <reference field="4294967294" count="1" selected="0">
            <x v="20"/>
          </reference>
        </references>
      </pivotArea>
    </format>
    <format dxfId="709">
      <pivotArea field="0" dataOnly="0" labelOnly="1" grandRow="1" outline="0" axis="axisRow" fieldPosition="0">
        <references count="1">
          <reference field="4294967294" count="1" selected="0">
            <x v="21"/>
          </reference>
        </references>
      </pivotArea>
    </format>
    <format dxfId="708">
      <pivotArea field="0" dataOnly="0" labelOnly="1" grandRow="1" outline="0" axis="axisRow" fieldPosition="0">
        <references count="1">
          <reference field="4294967294" count="1" selected="0">
            <x v="22"/>
          </reference>
        </references>
      </pivotArea>
    </format>
    <format dxfId="707">
      <pivotArea field="0" dataOnly="0" labelOnly="1" grandRow="1" outline="0" axis="axisRow" fieldPosition="0">
        <references count="1">
          <reference field="4294967294" count="1" selected="0">
            <x v="23"/>
          </reference>
        </references>
      </pivotArea>
    </format>
    <format dxfId="706">
      <pivotArea field="0" dataOnly="0" labelOnly="1" grandRow="1" outline="0" axis="axisRow" fieldPosition="0">
        <references count="1">
          <reference field="4294967294" count="1" selected="0">
            <x v="24"/>
          </reference>
        </references>
      </pivotArea>
    </format>
    <format dxfId="705">
      <pivotArea field="0" dataOnly="0" labelOnly="1" grandRow="1" outline="0" axis="axisRow" fieldPosition="0">
        <references count="1">
          <reference field="4294967294" count="1" selected="0">
            <x v="25"/>
          </reference>
        </references>
      </pivotArea>
    </format>
    <format dxfId="704">
      <pivotArea field="0" dataOnly="0" labelOnly="1" grandRow="1" outline="0" axis="axisRow" fieldPosition="0">
        <references count="1">
          <reference field="4294967294" count="1" selected="0">
            <x v="26"/>
          </reference>
        </references>
      </pivotArea>
    </format>
    <format dxfId="703">
      <pivotArea field="0" dataOnly="0" labelOnly="1" grandRow="1" outline="0" axis="axisRow" fieldPosition="0">
        <references count="1">
          <reference field="4294967294" count="1" selected="0">
            <x v="27"/>
          </reference>
        </references>
      </pivotArea>
    </format>
    <format dxfId="702">
      <pivotArea field="0" dataOnly="0" labelOnly="1" grandRow="1" outline="0" axis="axisRow" fieldPosition="0">
        <references count="1">
          <reference field="4294967294" count="1" selected="0">
            <x v="28"/>
          </reference>
        </references>
      </pivotArea>
    </format>
    <format dxfId="701">
      <pivotArea field="0" dataOnly="0" labelOnly="1" grandRow="1" outline="0" axis="axisRow" fieldPosition="0">
        <references count="1">
          <reference field="4294967294" count="1" selected="0">
            <x v="29"/>
          </reference>
        </references>
      </pivotArea>
    </format>
    <format dxfId="700">
      <pivotArea field="0" dataOnly="0" labelOnly="1" grandRow="1" outline="0" axis="axisRow" fieldPosition="0">
        <references count="1">
          <reference field="4294967294" count="1" selected="0">
            <x v="30"/>
          </reference>
        </references>
      </pivotArea>
    </format>
    <format dxfId="699">
      <pivotArea field="0" dataOnly="0" labelOnly="1" grandRow="1" outline="0" axis="axisRow" fieldPosition="0">
        <references count="1">
          <reference field="4294967294" count="1" selected="0">
            <x v="31"/>
          </reference>
        </references>
      </pivotArea>
    </format>
    <format dxfId="698">
      <pivotArea field="0" dataOnly="0" labelOnly="1" grandRow="1" outline="0" axis="axisRow" fieldPosition="0">
        <references count="1">
          <reference field="4294967294" count="1" selected="0">
            <x v="32"/>
          </reference>
        </references>
      </pivotArea>
    </format>
    <format dxfId="697">
      <pivotArea field="0" dataOnly="0" labelOnly="1" grandRow="1" outline="0" axis="axisRow" fieldPosition="0">
        <references count="1">
          <reference field="4294967294" count="1" selected="0">
            <x v="33"/>
          </reference>
        </references>
      </pivotArea>
    </format>
    <format dxfId="696">
      <pivotArea field="0" dataOnly="0" labelOnly="1" grandRow="1" outline="0" axis="axisRow" fieldPosition="0">
        <references count="1">
          <reference field="4294967294" count="1" selected="0">
            <x v="34"/>
          </reference>
        </references>
      </pivotArea>
    </format>
    <format dxfId="695">
      <pivotArea field="0" dataOnly="0" labelOnly="1" grandRow="1" outline="0" axis="axisRow" fieldPosition="0">
        <references count="1">
          <reference field="4294967294" count="1" selected="0">
            <x v="35"/>
          </reference>
        </references>
      </pivotArea>
    </format>
    <format dxfId="694">
      <pivotArea field="0" dataOnly="0" labelOnly="1" grandRow="1" outline="0" axis="axisRow" fieldPosition="0">
        <references count="1">
          <reference field="4294967294" count="1" selected="0">
            <x v="0"/>
          </reference>
        </references>
      </pivotArea>
    </format>
    <format dxfId="693">
      <pivotArea field="0" dataOnly="0" labelOnly="1" grandRow="1" outline="0" axis="axisRow" fieldPosition="0">
        <references count="1">
          <reference field="4294967294" count="1" selected="0">
            <x v="1"/>
          </reference>
        </references>
      </pivotArea>
    </format>
    <format dxfId="692">
      <pivotArea field="0" dataOnly="0" labelOnly="1" grandRow="1" outline="0" axis="axisRow" fieldPosition="0">
        <references count="1">
          <reference field="4294967294" count="1" selected="0">
            <x v="2"/>
          </reference>
        </references>
      </pivotArea>
    </format>
    <format dxfId="691">
      <pivotArea field="0" dataOnly="0" labelOnly="1" grandRow="1" outline="0" axis="axisRow" fieldPosition="0">
        <references count="1">
          <reference field="4294967294" count="1" selected="0">
            <x v="3"/>
          </reference>
        </references>
      </pivotArea>
    </format>
    <format dxfId="690">
      <pivotArea field="0" dataOnly="0" labelOnly="1" grandRow="1" outline="0" axis="axisRow" fieldPosition="0">
        <references count="1">
          <reference field="4294967294" count="1" selected="0">
            <x v="4"/>
          </reference>
        </references>
      </pivotArea>
    </format>
    <format dxfId="689">
      <pivotArea field="0" dataOnly="0" labelOnly="1" grandRow="1" outline="0" axis="axisRow" fieldPosition="0">
        <references count="1">
          <reference field="4294967294" count="1" selected="0">
            <x v="5"/>
          </reference>
        </references>
      </pivotArea>
    </format>
    <format dxfId="688">
      <pivotArea field="0" dataOnly="0" labelOnly="1" grandRow="1" outline="0" axis="axisRow" fieldPosition="0">
        <references count="1">
          <reference field="4294967294" count="1" selected="0">
            <x v="6"/>
          </reference>
        </references>
      </pivotArea>
    </format>
    <format dxfId="687">
      <pivotArea field="0" dataOnly="0" labelOnly="1" grandRow="1" outline="0" axis="axisRow" fieldPosition="0">
        <references count="1">
          <reference field="4294967294" count="1" selected="0">
            <x v="7"/>
          </reference>
        </references>
      </pivotArea>
    </format>
    <format dxfId="686">
      <pivotArea field="0" dataOnly="0" labelOnly="1" grandRow="1" outline="0" axis="axisRow" fieldPosition="0">
        <references count="1">
          <reference field="4294967294" count="1" selected="0">
            <x v="8"/>
          </reference>
        </references>
      </pivotArea>
    </format>
    <format dxfId="685">
      <pivotArea field="0" dataOnly="0" labelOnly="1" grandRow="1" outline="0" axis="axisRow" fieldPosition="0">
        <references count="1">
          <reference field="4294967294" count="1" selected="0">
            <x v="9"/>
          </reference>
        </references>
      </pivotArea>
    </format>
    <format dxfId="684">
      <pivotArea field="0" dataOnly="0" labelOnly="1" grandRow="1" outline="0" axis="axisRow" fieldPosition="0">
        <references count="1">
          <reference field="4294967294" count="1" selected="0">
            <x v="10"/>
          </reference>
        </references>
      </pivotArea>
    </format>
    <format dxfId="683">
      <pivotArea field="0" dataOnly="0" labelOnly="1" grandRow="1" outline="0" axis="axisRow" fieldPosition="0">
        <references count="1">
          <reference field="4294967294" count="1" selected="0">
            <x v="11"/>
          </reference>
        </references>
      </pivotArea>
    </format>
    <format dxfId="682">
      <pivotArea field="0" dataOnly="0" labelOnly="1" grandRow="1" outline="0" axis="axisRow" fieldPosition="0">
        <references count="1">
          <reference field="4294967294" count="1" selected="0">
            <x v="12"/>
          </reference>
        </references>
      </pivotArea>
    </format>
    <format dxfId="681">
      <pivotArea field="0" dataOnly="0" labelOnly="1" grandRow="1" outline="0" axis="axisRow" fieldPosition="0">
        <references count="1">
          <reference field="4294967294" count="1" selected="0">
            <x v="13"/>
          </reference>
        </references>
      </pivotArea>
    </format>
    <format dxfId="680">
      <pivotArea field="0" dataOnly="0" labelOnly="1" grandRow="1" outline="0" axis="axisRow" fieldPosition="0">
        <references count="1">
          <reference field="4294967294" count="1" selected="0">
            <x v="14"/>
          </reference>
        </references>
      </pivotArea>
    </format>
    <format dxfId="679">
      <pivotArea field="0" dataOnly="0" labelOnly="1" grandRow="1" outline="0" axis="axisRow" fieldPosition="0">
        <references count="1">
          <reference field="4294967294" count="1" selected="0">
            <x v="15"/>
          </reference>
        </references>
      </pivotArea>
    </format>
    <format dxfId="678">
      <pivotArea field="0" dataOnly="0" labelOnly="1" grandRow="1" outline="0" axis="axisRow" fieldPosition="0">
        <references count="1">
          <reference field="4294967294" count="1" selected="0">
            <x v="16"/>
          </reference>
        </references>
      </pivotArea>
    </format>
    <format dxfId="677">
      <pivotArea field="0" dataOnly="0" labelOnly="1" grandRow="1" outline="0" axis="axisRow" fieldPosition="0">
        <references count="1">
          <reference field="4294967294" count="1" selected="0">
            <x v="17"/>
          </reference>
        </references>
      </pivotArea>
    </format>
    <format dxfId="676">
      <pivotArea field="0" dataOnly="0" labelOnly="1" grandRow="1" outline="0" axis="axisRow" fieldPosition="0">
        <references count="1">
          <reference field="4294967294" count="1" selected="0">
            <x v="18"/>
          </reference>
        </references>
      </pivotArea>
    </format>
    <format dxfId="675">
      <pivotArea field="0" dataOnly="0" labelOnly="1" grandRow="1" outline="0" axis="axisRow" fieldPosition="0">
        <references count="1">
          <reference field="4294967294" count="1" selected="0">
            <x v="19"/>
          </reference>
        </references>
      </pivotArea>
    </format>
    <format dxfId="674">
      <pivotArea field="0" dataOnly="0" labelOnly="1" grandRow="1" outline="0" axis="axisRow" fieldPosition="0">
        <references count="1">
          <reference field="4294967294" count="1" selected="0">
            <x v="20"/>
          </reference>
        </references>
      </pivotArea>
    </format>
    <format dxfId="673">
      <pivotArea field="0" dataOnly="0" labelOnly="1" grandRow="1" outline="0" axis="axisRow" fieldPosition="0">
        <references count="1">
          <reference field="4294967294" count="1" selected="0">
            <x v="21"/>
          </reference>
        </references>
      </pivotArea>
    </format>
    <format dxfId="672">
      <pivotArea field="0" dataOnly="0" labelOnly="1" grandRow="1" outline="0" axis="axisRow" fieldPosition="0">
        <references count="1">
          <reference field="4294967294" count="1" selected="0">
            <x v="22"/>
          </reference>
        </references>
      </pivotArea>
    </format>
    <format dxfId="671">
      <pivotArea field="0" dataOnly="0" labelOnly="1" grandRow="1" outline="0" axis="axisRow" fieldPosition="0">
        <references count="1">
          <reference field="4294967294" count="1" selected="0">
            <x v="23"/>
          </reference>
        </references>
      </pivotArea>
    </format>
    <format dxfId="670">
      <pivotArea field="0" dataOnly="0" labelOnly="1" grandRow="1" outline="0" axis="axisRow" fieldPosition="0">
        <references count="1">
          <reference field="4294967294" count="1" selected="0">
            <x v="24"/>
          </reference>
        </references>
      </pivotArea>
    </format>
    <format dxfId="669">
      <pivotArea field="0" dataOnly="0" labelOnly="1" grandRow="1" outline="0" axis="axisRow" fieldPosition="0">
        <references count="1">
          <reference field="4294967294" count="1" selected="0">
            <x v="25"/>
          </reference>
        </references>
      </pivotArea>
    </format>
    <format dxfId="668">
      <pivotArea field="0" dataOnly="0" labelOnly="1" grandRow="1" outline="0" axis="axisRow" fieldPosition="0">
        <references count="1">
          <reference field="4294967294" count="1" selected="0">
            <x v="26"/>
          </reference>
        </references>
      </pivotArea>
    </format>
    <format dxfId="667">
      <pivotArea field="0" dataOnly="0" labelOnly="1" grandRow="1" outline="0" axis="axisRow" fieldPosition="0">
        <references count="1">
          <reference field="4294967294" count="1" selected="0">
            <x v="27"/>
          </reference>
        </references>
      </pivotArea>
    </format>
    <format dxfId="666">
      <pivotArea field="0" dataOnly="0" labelOnly="1" grandRow="1" outline="0" axis="axisRow" fieldPosition="0">
        <references count="1">
          <reference field="4294967294" count="1" selected="0">
            <x v="28"/>
          </reference>
        </references>
      </pivotArea>
    </format>
    <format dxfId="665">
      <pivotArea field="0" dataOnly="0" labelOnly="1" grandRow="1" outline="0" axis="axisRow" fieldPosition="0">
        <references count="1">
          <reference field="4294967294" count="1" selected="0">
            <x v="29"/>
          </reference>
        </references>
      </pivotArea>
    </format>
    <format dxfId="664">
      <pivotArea field="0" dataOnly="0" labelOnly="1" grandRow="1" outline="0" axis="axisRow" fieldPosition="0">
        <references count="1">
          <reference field="4294967294" count="1" selected="0">
            <x v="30"/>
          </reference>
        </references>
      </pivotArea>
    </format>
    <format dxfId="663">
      <pivotArea field="0" dataOnly="0" labelOnly="1" grandRow="1" outline="0" axis="axisRow" fieldPosition="0">
        <references count="1">
          <reference field="4294967294" count="1" selected="0">
            <x v="31"/>
          </reference>
        </references>
      </pivotArea>
    </format>
    <format dxfId="662">
      <pivotArea field="0" dataOnly="0" labelOnly="1" grandRow="1" outline="0" axis="axisRow" fieldPosition="0">
        <references count="1">
          <reference field="4294967294" count="1" selected="0">
            <x v="32"/>
          </reference>
        </references>
      </pivotArea>
    </format>
    <format dxfId="661">
      <pivotArea field="0" dataOnly="0" labelOnly="1" grandRow="1" outline="0" axis="axisRow" fieldPosition="0">
        <references count="1">
          <reference field="4294967294" count="1" selected="0">
            <x v="33"/>
          </reference>
        </references>
      </pivotArea>
    </format>
    <format dxfId="660">
      <pivotArea field="0" dataOnly="0" labelOnly="1" grandRow="1" outline="0" axis="axisRow" fieldPosition="0">
        <references count="1">
          <reference field="4294967294" count="1" selected="0">
            <x v="34"/>
          </reference>
        </references>
      </pivotArea>
    </format>
    <format dxfId="659">
      <pivotArea field="0" dataOnly="0" labelOnly="1" grandRow="1" outline="0" axis="axisRow" fieldPosition="0">
        <references count="1">
          <reference field="4294967294" count="1" selected="0">
            <x v="35"/>
          </reference>
        </references>
      </pivotArea>
    </format>
    <format dxfId="658">
      <pivotArea field="0" dataOnly="0" labelOnly="1" grandRow="1" outline="0" axis="axisRow" fieldPosition="0">
        <references count="1">
          <reference field="4294967294" count="1" selected="0">
            <x v="0"/>
          </reference>
        </references>
      </pivotArea>
    </format>
    <format dxfId="657">
      <pivotArea field="0" dataOnly="0" labelOnly="1" grandRow="1" outline="0" axis="axisRow" fieldPosition="0">
        <references count="1">
          <reference field="4294967294" count="1" selected="0">
            <x v="1"/>
          </reference>
        </references>
      </pivotArea>
    </format>
    <format dxfId="656">
      <pivotArea field="0" dataOnly="0" labelOnly="1" grandRow="1" outline="0" axis="axisRow" fieldPosition="0">
        <references count="1">
          <reference field="4294967294" count="1" selected="0">
            <x v="2"/>
          </reference>
        </references>
      </pivotArea>
    </format>
    <format dxfId="655">
      <pivotArea field="0" dataOnly="0" labelOnly="1" grandRow="1" outline="0" axis="axisRow" fieldPosition="0">
        <references count="1">
          <reference field="4294967294" count="1" selected="0">
            <x v="3"/>
          </reference>
        </references>
      </pivotArea>
    </format>
    <format dxfId="654">
      <pivotArea field="0" dataOnly="0" labelOnly="1" grandRow="1" outline="0" axis="axisRow" fieldPosition="0">
        <references count="1">
          <reference field="4294967294" count="1" selected="0">
            <x v="4"/>
          </reference>
        </references>
      </pivotArea>
    </format>
    <format dxfId="653">
      <pivotArea field="0" dataOnly="0" labelOnly="1" grandRow="1" outline="0" axis="axisRow" fieldPosition="0">
        <references count="1">
          <reference field="4294967294" count="1" selected="0">
            <x v="5"/>
          </reference>
        </references>
      </pivotArea>
    </format>
    <format dxfId="652">
      <pivotArea field="0" dataOnly="0" labelOnly="1" grandRow="1" outline="0" axis="axisRow" fieldPosition="0">
        <references count="1">
          <reference field="4294967294" count="1" selected="0">
            <x v="6"/>
          </reference>
        </references>
      </pivotArea>
    </format>
    <format dxfId="651">
      <pivotArea field="0" dataOnly="0" labelOnly="1" grandRow="1" outline="0" axis="axisRow" fieldPosition="0">
        <references count="1">
          <reference field="4294967294" count="1" selected="0">
            <x v="7"/>
          </reference>
        </references>
      </pivotArea>
    </format>
    <format dxfId="650">
      <pivotArea field="0" dataOnly="0" labelOnly="1" grandRow="1" outline="0" axis="axisRow" fieldPosition="0">
        <references count="1">
          <reference field="4294967294" count="1" selected="0">
            <x v="8"/>
          </reference>
        </references>
      </pivotArea>
    </format>
    <format dxfId="649">
      <pivotArea field="0" dataOnly="0" labelOnly="1" grandRow="1" outline="0" axis="axisRow" fieldPosition="0">
        <references count="1">
          <reference field="4294967294" count="1" selected="0">
            <x v="9"/>
          </reference>
        </references>
      </pivotArea>
    </format>
    <format dxfId="648">
      <pivotArea field="0" dataOnly="0" labelOnly="1" grandRow="1" outline="0" axis="axisRow" fieldPosition="0">
        <references count="1">
          <reference field="4294967294" count="1" selected="0">
            <x v="10"/>
          </reference>
        </references>
      </pivotArea>
    </format>
    <format dxfId="647">
      <pivotArea field="0" dataOnly="0" labelOnly="1" grandRow="1" outline="0" axis="axisRow" fieldPosition="0">
        <references count="1">
          <reference field="4294967294" count="1" selected="0">
            <x v="11"/>
          </reference>
        </references>
      </pivotArea>
    </format>
    <format dxfId="646">
      <pivotArea field="0" dataOnly="0" labelOnly="1" grandRow="1" outline="0" axis="axisRow" fieldPosition="0">
        <references count="1">
          <reference field="4294967294" count="1" selected="0">
            <x v="12"/>
          </reference>
        </references>
      </pivotArea>
    </format>
    <format dxfId="645">
      <pivotArea field="0" dataOnly="0" labelOnly="1" grandRow="1" outline="0" axis="axisRow" fieldPosition="0">
        <references count="1">
          <reference field="4294967294" count="1" selected="0">
            <x v="13"/>
          </reference>
        </references>
      </pivotArea>
    </format>
    <format dxfId="644">
      <pivotArea field="0" dataOnly="0" labelOnly="1" grandRow="1" outline="0" axis="axisRow" fieldPosition="0">
        <references count="1">
          <reference field="4294967294" count="1" selected="0">
            <x v="14"/>
          </reference>
        </references>
      </pivotArea>
    </format>
    <format dxfId="643">
      <pivotArea field="0" dataOnly="0" labelOnly="1" grandRow="1" outline="0" axis="axisRow" fieldPosition="0">
        <references count="1">
          <reference field="4294967294" count="1" selected="0">
            <x v="15"/>
          </reference>
        </references>
      </pivotArea>
    </format>
    <format dxfId="642">
      <pivotArea field="0" dataOnly="0" labelOnly="1" grandRow="1" outline="0" axis="axisRow" fieldPosition="0">
        <references count="1">
          <reference field="4294967294" count="1" selected="0">
            <x v="16"/>
          </reference>
        </references>
      </pivotArea>
    </format>
    <format dxfId="641">
      <pivotArea field="0" dataOnly="0" labelOnly="1" grandRow="1" outline="0" axis="axisRow" fieldPosition="0">
        <references count="1">
          <reference field="4294967294" count="1" selected="0">
            <x v="17"/>
          </reference>
        </references>
      </pivotArea>
    </format>
    <format dxfId="640">
      <pivotArea field="0" dataOnly="0" labelOnly="1" grandRow="1" outline="0" axis="axisRow" fieldPosition="0">
        <references count="1">
          <reference field="4294967294" count="1" selected="0">
            <x v="18"/>
          </reference>
        </references>
      </pivotArea>
    </format>
    <format dxfId="639">
      <pivotArea field="0" dataOnly="0" labelOnly="1" grandRow="1" outline="0" axis="axisRow" fieldPosition="0">
        <references count="1">
          <reference field="4294967294" count="1" selected="0">
            <x v="19"/>
          </reference>
        </references>
      </pivotArea>
    </format>
    <format dxfId="638">
      <pivotArea field="0" dataOnly="0" labelOnly="1" grandRow="1" outline="0" axis="axisRow" fieldPosition="0">
        <references count="1">
          <reference field="4294967294" count="1" selected="0">
            <x v="20"/>
          </reference>
        </references>
      </pivotArea>
    </format>
    <format dxfId="637">
      <pivotArea field="0" dataOnly="0" labelOnly="1" grandRow="1" outline="0" axis="axisRow" fieldPosition="0">
        <references count="1">
          <reference field="4294967294" count="1" selected="0">
            <x v="21"/>
          </reference>
        </references>
      </pivotArea>
    </format>
    <format dxfId="636">
      <pivotArea field="0" dataOnly="0" labelOnly="1" grandRow="1" outline="0" axis="axisRow" fieldPosition="0">
        <references count="1">
          <reference field="4294967294" count="1" selected="0">
            <x v="22"/>
          </reference>
        </references>
      </pivotArea>
    </format>
    <format dxfId="635">
      <pivotArea field="0" dataOnly="0" labelOnly="1" grandRow="1" outline="0" axis="axisRow" fieldPosition="0">
        <references count="1">
          <reference field="4294967294" count="1" selected="0">
            <x v="23"/>
          </reference>
        </references>
      </pivotArea>
    </format>
    <format dxfId="634">
      <pivotArea field="0" dataOnly="0" labelOnly="1" grandRow="1" outline="0" axis="axisRow" fieldPosition="0">
        <references count="1">
          <reference field="4294967294" count="1" selected="0">
            <x v="24"/>
          </reference>
        </references>
      </pivotArea>
    </format>
    <format dxfId="633">
      <pivotArea field="0" dataOnly="0" labelOnly="1" grandRow="1" outline="0" axis="axisRow" fieldPosition="0">
        <references count="1">
          <reference field="4294967294" count="1" selected="0">
            <x v="25"/>
          </reference>
        </references>
      </pivotArea>
    </format>
    <format dxfId="632">
      <pivotArea field="0" dataOnly="0" labelOnly="1" grandRow="1" outline="0" axis="axisRow" fieldPosition="0">
        <references count="1">
          <reference field="4294967294" count="1" selected="0">
            <x v="26"/>
          </reference>
        </references>
      </pivotArea>
    </format>
    <format dxfId="631">
      <pivotArea field="0" dataOnly="0" labelOnly="1" grandRow="1" outline="0" axis="axisRow" fieldPosition="0">
        <references count="1">
          <reference field="4294967294" count="1" selected="0">
            <x v="27"/>
          </reference>
        </references>
      </pivotArea>
    </format>
    <format dxfId="630">
      <pivotArea field="0" dataOnly="0" labelOnly="1" grandRow="1" outline="0" axis="axisRow" fieldPosition="0">
        <references count="1">
          <reference field="4294967294" count="1" selected="0">
            <x v="28"/>
          </reference>
        </references>
      </pivotArea>
    </format>
    <format dxfId="629">
      <pivotArea field="0" dataOnly="0" labelOnly="1" grandRow="1" outline="0" axis="axisRow" fieldPosition="0">
        <references count="1">
          <reference field="4294967294" count="1" selected="0">
            <x v="29"/>
          </reference>
        </references>
      </pivotArea>
    </format>
    <format dxfId="628">
      <pivotArea field="0" dataOnly="0" labelOnly="1" grandRow="1" outline="0" axis="axisRow" fieldPosition="0">
        <references count="1">
          <reference field="4294967294" count="1" selected="0">
            <x v="30"/>
          </reference>
        </references>
      </pivotArea>
    </format>
    <format dxfId="627">
      <pivotArea field="0" dataOnly="0" labelOnly="1" grandRow="1" outline="0" axis="axisRow" fieldPosition="0">
        <references count="1">
          <reference field="4294967294" count="1" selected="0">
            <x v="31"/>
          </reference>
        </references>
      </pivotArea>
    </format>
    <format dxfId="626">
      <pivotArea field="0" dataOnly="0" labelOnly="1" grandRow="1" outline="0" axis="axisRow" fieldPosition="0">
        <references count="1">
          <reference field="4294967294" count="1" selected="0">
            <x v="32"/>
          </reference>
        </references>
      </pivotArea>
    </format>
    <format dxfId="625">
      <pivotArea field="0" dataOnly="0" labelOnly="1" grandRow="1" outline="0" axis="axisRow" fieldPosition="0">
        <references count="1">
          <reference field="4294967294" count="1" selected="0">
            <x v="33"/>
          </reference>
        </references>
      </pivotArea>
    </format>
    <format dxfId="624">
      <pivotArea field="0" dataOnly="0" labelOnly="1" grandRow="1" outline="0" axis="axisRow" fieldPosition="0">
        <references count="1">
          <reference field="4294967294" count="1" selected="0">
            <x v="34"/>
          </reference>
        </references>
      </pivotArea>
    </format>
    <format dxfId="623">
      <pivotArea field="0" dataOnly="0" labelOnly="1" grandRow="1" outline="0" axis="axisRow" fieldPosition="0">
        <references count="1">
          <reference field="4294967294" count="1" selected="0">
            <x v="35"/>
          </reference>
        </references>
      </pivotArea>
    </format>
    <format dxfId="622">
      <pivotArea field="0" dataOnly="0" labelOnly="1" grandRow="1" outline="0" axis="axisRow" fieldPosition="0">
        <references count="1">
          <reference field="4294967294" count="1" selected="0">
            <x v="0"/>
          </reference>
        </references>
      </pivotArea>
    </format>
    <format dxfId="621">
      <pivotArea field="0" dataOnly="0" labelOnly="1" grandRow="1" outline="0" axis="axisRow" fieldPosition="0">
        <references count="1">
          <reference field="4294967294" count="1" selected="0">
            <x v="1"/>
          </reference>
        </references>
      </pivotArea>
    </format>
    <format dxfId="620">
      <pivotArea field="0" dataOnly="0" labelOnly="1" grandRow="1" outline="0" axis="axisRow" fieldPosition="0">
        <references count="1">
          <reference field="4294967294" count="1" selected="0">
            <x v="2"/>
          </reference>
        </references>
      </pivotArea>
    </format>
    <format dxfId="619">
      <pivotArea field="0" dataOnly="0" labelOnly="1" grandRow="1" outline="0" axis="axisRow" fieldPosition="0">
        <references count="1">
          <reference field="4294967294" count="1" selected="0">
            <x v="3"/>
          </reference>
        </references>
      </pivotArea>
    </format>
    <format dxfId="618">
      <pivotArea field="0" dataOnly="0" labelOnly="1" grandRow="1" outline="0" axis="axisRow" fieldPosition="0">
        <references count="1">
          <reference field="4294967294" count="1" selected="0">
            <x v="4"/>
          </reference>
        </references>
      </pivotArea>
    </format>
    <format dxfId="617">
      <pivotArea field="0" dataOnly="0" labelOnly="1" grandRow="1" outline="0" axis="axisRow" fieldPosition="0">
        <references count="1">
          <reference field="4294967294" count="1" selected="0">
            <x v="5"/>
          </reference>
        </references>
      </pivotArea>
    </format>
    <format dxfId="616">
      <pivotArea field="0" dataOnly="0" labelOnly="1" grandRow="1" outline="0" axis="axisRow" fieldPosition="0">
        <references count="1">
          <reference field="4294967294" count="1" selected="0">
            <x v="6"/>
          </reference>
        </references>
      </pivotArea>
    </format>
    <format dxfId="615">
      <pivotArea field="0" dataOnly="0" labelOnly="1" grandRow="1" outline="0" axis="axisRow" fieldPosition="0">
        <references count="1">
          <reference field="4294967294" count="1" selected="0">
            <x v="7"/>
          </reference>
        </references>
      </pivotArea>
    </format>
    <format dxfId="614">
      <pivotArea field="0" dataOnly="0" labelOnly="1" grandRow="1" outline="0" axis="axisRow" fieldPosition="0">
        <references count="1">
          <reference field="4294967294" count="1" selected="0">
            <x v="8"/>
          </reference>
        </references>
      </pivotArea>
    </format>
    <format dxfId="613">
      <pivotArea field="0" dataOnly="0" labelOnly="1" grandRow="1" outline="0" axis="axisRow" fieldPosition="0">
        <references count="1">
          <reference field="4294967294" count="1" selected="0">
            <x v="9"/>
          </reference>
        </references>
      </pivotArea>
    </format>
    <format dxfId="612">
      <pivotArea field="0" dataOnly="0" labelOnly="1" grandRow="1" outline="0" axis="axisRow" fieldPosition="0">
        <references count="1">
          <reference field="4294967294" count="1" selected="0">
            <x v="10"/>
          </reference>
        </references>
      </pivotArea>
    </format>
    <format dxfId="611">
      <pivotArea field="0" dataOnly="0" labelOnly="1" grandRow="1" outline="0" axis="axisRow" fieldPosition="0">
        <references count="1">
          <reference field="4294967294" count="1" selected="0">
            <x v="11"/>
          </reference>
        </references>
      </pivotArea>
    </format>
    <format dxfId="610">
      <pivotArea field="0" dataOnly="0" labelOnly="1" grandRow="1" outline="0" axis="axisRow" fieldPosition="0">
        <references count="1">
          <reference field="4294967294" count="1" selected="0">
            <x v="12"/>
          </reference>
        </references>
      </pivotArea>
    </format>
    <format dxfId="609">
      <pivotArea field="0" dataOnly="0" labelOnly="1" grandRow="1" outline="0" axis="axisRow" fieldPosition="0">
        <references count="1">
          <reference field="4294967294" count="1" selected="0">
            <x v="13"/>
          </reference>
        </references>
      </pivotArea>
    </format>
    <format dxfId="608">
      <pivotArea field="0" dataOnly="0" labelOnly="1" grandRow="1" outline="0" axis="axisRow" fieldPosition="0">
        <references count="1">
          <reference field="4294967294" count="1" selected="0">
            <x v="14"/>
          </reference>
        </references>
      </pivotArea>
    </format>
    <format dxfId="607">
      <pivotArea field="0" dataOnly="0" labelOnly="1" grandRow="1" outline="0" axis="axisRow" fieldPosition="0">
        <references count="1">
          <reference field="4294967294" count="1" selected="0">
            <x v="15"/>
          </reference>
        </references>
      </pivotArea>
    </format>
    <format dxfId="606">
      <pivotArea field="0" dataOnly="0" labelOnly="1" grandRow="1" outline="0" axis="axisRow" fieldPosition="0">
        <references count="1">
          <reference field="4294967294" count="1" selected="0">
            <x v="16"/>
          </reference>
        </references>
      </pivotArea>
    </format>
    <format dxfId="605">
      <pivotArea field="0" dataOnly="0" labelOnly="1" grandRow="1" outline="0" axis="axisRow" fieldPosition="0">
        <references count="1">
          <reference field="4294967294" count="1" selected="0">
            <x v="17"/>
          </reference>
        </references>
      </pivotArea>
    </format>
    <format dxfId="604">
      <pivotArea field="0" dataOnly="0" labelOnly="1" grandRow="1" outline="0" axis="axisRow" fieldPosition="0">
        <references count="1">
          <reference field="4294967294" count="1" selected="0">
            <x v="18"/>
          </reference>
        </references>
      </pivotArea>
    </format>
    <format dxfId="603">
      <pivotArea field="0" dataOnly="0" labelOnly="1" grandRow="1" outline="0" axis="axisRow" fieldPosition="0">
        <references count="1">
          <reference field="4294967294" count="1" selected="0">
            <x v="19"/>
          </reference>
        </references>
      </pivotArea>
    </format>
    <format dxfId="602">
      <pivotArea field="0" dataOnly="0" labelOnly="1" grandRow="1" outline="0" axis="axisRow" fieldPosition="0">
        <references count="1">
          <reference field="4294967294" count="1" selected="0">
            <x v="20"/>
          </reference>
        </references>
      </pivotArea>
    </format>
    <format dxfId="601">
      <pivotArea field="0" dataOnly="0" labelOnly="1" grandRow="1" outline="0" axis="axisRow" fieldPosition="0">
        <references count="1">
          <reference field="4294967294" count="1" selected="0">
            <x v="21"/>
          </reference>
        </references>
      </pivotArea>
    </format>
    <format dxfId="600">
      <pivotArea field="0" dataOnly="0" labelOnly="1" grandRow="1" outline="0" axis="axisRow" fieldPosition="0">
        <references count="1">
          <reference field="4294967294" count="1" selected="0">
            <x v="22"/>
          </reference>
        </references>
      </pivotArea>
    </format>
    <format dxfId="599">
      <pivotArea field="0" dataOnly="0" labelOnly="1" grandRow="1" outline="0" axis="axisRow" fieldPosition="0">
        <references count="1">
          <reference field="4294967294" count="1" selected="0">
            <x v="23"/>
          </reference>
        </references>
      </pivotArea>
    </format>
    <format dxfId="598">
      <pivotArea field="0" dataOnly="0" labelOnly="1" grandRow="1" outline="0" axis="axisRow" fieldPosition="0">
        <references count="1">
          <reference field="4294967294" count="1" selected="0">
            <x v="24"/>
          </reference>
        </references>
      </pivotArea>
    </format>
    <format dxfId="597">
      <pivotArea field="0" dataOnly="0" labelOnly="1" grandRow="1" outline="0" axis="axisRow" fieldPosition="0">
        <references count="1">
          <reference field="4294967294" count="1" selected="0">
            <x v="25"/>
          </reference>
        </references>
      </pivotArea>
    </format>
    <format dxfId="596">
      <pivotArea field="0" dataOnly="0" labelOnly="1" grandRow="1" outline="0" axis="axisRow" fieldPosition="0">
        <references count="1">
          <reference field="4294967294" count="1" selected="0">
            <x v="26"/>
          </reference>
        </references>
      </pivotArea>
    </format>
    <format dxfId="595">
      <pivotArea field="0" dataOnly="0" labelOnly="1" grandRow="1" outline="0" axis="axisRow" fieldPosition="0">
        <references count="1">
          <reference field="4294967294" count="1" selected="0">
            <x v="27"/>
          </reference>
        </references>
      </pivotArea>
    </format>
    <format dxfId="594">
      <pivotArea field="0" dataOnly="0" labelOnly="1" grandRow="1" outline="0" axis="axisRow" fieldPosition="0">
        <references count="1">
          <reference field="4294967294" count="1" selected="0">
            <x v="28"/>
          </reference>
        </references>
      </pivotArea>
    </format>
    <format dxfId="593">
      <pivotArea field="0" dataOnly="0" labelOnly="1" grandRow="1" outline="0" axis="axisRow" fieldPosition="0">
        <references count="1">
          <reference field="4294967294" count="1" selected="0">
            <x v="29"/>
          </reference>
        </references>
      </pivotArea>
    </format>
    <format dxfId="592">
      <pivotArea field="0" dataOnly="0" labelOnly="1" grandRow="1" outline="0" axis="axisRow" fieldPosition="0">
        <references count="1">
          <reference field="4294967294" count="1" selected="0">
            <x v="30"/>
          </reference>
        </references>
      </pivotArea>
    </format>
    <format dxfId="591">
      <pivotArea field="0" dataOnly="0" labelOnly="1" grandRow="1" outline="0" axis="axisRow" fieldPosition="0">
        <references count="1">
          <reference field="4294967294" count="1" selected="0">
            <x v="31"/>
          </reference>
        </references>
      </pivotArea>
    </format>
    <format dxfId="590">
      <pivotArea field="0" dataOnly="0" labelOnly="1" grandRow="1" outline="0" axis="axisRow" fieldPosition="0">
        <references count="1">
          <reference field="4294967294" count="1" selected="0">
            <x v="32"/>
          </reference>
        </references>
      </pivotArea>
    </format>
    <format dxfId="589">
      <pivotArea field="0" dataOnly="0" labelOnly="1" grandRow="1" outline="0" axis="axisRow" fieldPosition="0">
        <references count="1">
          <reference field="4294967294" count="1" selected="0">
            <x v="33"/>
          </reference>
        </references>
      </pivotArea>
    </format>
    <format dxfId="588">
      <pivotArea field="0" dataOnly="0" labelOnly="1" grandRow="1" outline="0" axis="axisRow" fieldPosition="0">
        <references count="1">
          <reference field="4294967294" count="1" selected="0">
            <x v="34"/>
          </reference>
        </references>
      </pivotArea>
    </format>
    <format dxfId="587">
      <pivotArea field="0" dataOnly="0" labelOnly="1" grandRow="1" outline="0" axis="axisRow" fieldPosition="0">
        <references count="1">
          <reference field="4294967294" count="1" selected="0">
            <x v="35"/>
          </reference>
        </references>
      </pivotArea>
    </format>
    <format dxfId="586">
      <pivotArea field="0" dataOnly="0" labelOnly="1" grandRow="1" outline="0" axis="axisRow" fieldPosition="0">
        <references count="1">
          <reference field="4294967294" count="1" selected="0">
            <x v="0"/>
          </reference>
        </references>
      </pivotArea>
    </format>
    <format dxfId="585">
      <pivotArea field="0" dataOnly="0" labelOnly="1" grandRow="1" outline="0" axis="axisRow" fieldPosition="0">
        <references count="1">
          <reference field="4294967294" count="1" selected="0">
            <x v="1"/>
          </reference>
        </references>
      </pivotArea>
    </format>
    <format dxfId="584">
      <pivotArea field="0" dataOnly="0" labelOnly="1" grandRow="1" outline="0" axis="axisRow" fieldPosition="0">
        <references count="1">
          <reference field="4294967294" count="1" selected="0">
            <x v="2"/>
          </reference>
        </references>
      </pivotArea>
    </format>
    <format dxfId="583">
      <pivotArea field="0" dataOnly="0" labelOnly="1" grandRow="1" outline="0" axis="axisRow" fieldPosition="0">
        <references count="1">
          <reference field="4294967294" count="1" selected="0">
            <x v="3"/>
          </reference>
        </references>
      </pivotArea>
    </format>
    <format dxfId="582">
      <pivotArea field="0" dataOnly="0" labelOnly="1" grandRow="1" outline="0" axis="axisRow" fieldPosition="0">
        <references count="1">
          <reference field="4294967294" count="1" selected="0">
            <x v="4"/>
          </reference>
        </references>
      </pivotArea>
    </format>
    <format dxfId="581">
      <pivotArea field="0" dataOnly="0" labelOnly="1" grandRow="1" outline="0" axis="axisRow" fieldPosition="0">
        <references count="1">
          <reference field="4294967294" count="1" selected="0">
            <x v="5"/>
          </reference>
        </references>
      </pivotArea>
    </format>
    <format dxfId="580">
      <pivotArea field="0" dataOnly="0" labelOnly="1" grandRow="1" outline="0" axis="axisRow" fieldPosition="0">
        <references count="1">
          <reference field="4294967294" count="1" selected="0">
            <x v="6"/>
          </reference>
        </references>
      </pivotArea>
    </format>
    <format dxfId="579">
      <pivotArea field="0" dataOnly="0" labelOnly="1" grandRow="1" outline="0" axis="axisRow" fieldPosition="0">
        <references count="1">
          <reference field="4294967294" count="1" selected="0">
            <x v="7"/>
          </reference>
        </references>
      </pivotArea>
    </format>
    <format dxfId="578">
      <pivotArea field="0" dataOnly="0" labelOnly="1" grandRow="1" outline="0" axis="axisRow" fieldPosition="0">
        <references count="1">
          <reference field="4294967294" count="1" selected="0">
            <x v="8"/>
          </reference>
        </references>
      </pivotArea>
    </format>
    <format dxfId="577">
      <pivotArea field="0" dataOnly="0" labelOnly="1" grandRow="1" outline="0" axis="axisRow" fieldPosition="0">
        <references count="1">
          <reference field="4294967294" count="1" selected="0">
            <x v="9"/>
          </reference>
        </references>
      </pivotArea>
    </format>
    <format dxfId="576">
      <pivotArea field="0" dataOnly="0" labelOnly="1" grandRow="1" outline="0" axis="axisRow" fieldPosition="0">
        <references count="1">
          <reference field="4294967294" count="1" selected="0">
            <x v="10"/>
          </reference>
        </references>
      </pivotArea>
    </format>
    <format dxfId="575">
      <pivotArea field="0" dataOnly="0" labelOnly="1" grandRow="1" outline="0" axis="axisRow" fieldPosition="0">
        <references count="1">
          <reference field="4294967294" count="1" selected="0">
            <x v="11"/>
          </reference>
        </references>
      </pivotArea>
    </format>
    <format dxfId="574">
      <pivotArea field="0" dataOnly="0" labelOnly="1" grandRow="1" outline="0" axis="axisRow" fieldPosition="0">
        <references count="1">
          <reference field="4294967294" count="1" selected="0">
            <x v="12"/>
          </reference>
        </references>
      </pivotArea>
    </format>
    <format dxfId="573">
      <pivotArea field="0" dataOnly="0" labelOnly="1" grandRow="1" outline="0" axis="axisRow" fieldPosition="0">
        <references count="1">
          <reference field="4294967294" count="1" selected="0">
            <x v="13"/>
          </reference>
        </references>
      </pivotArea>
    </format>
    <format dxfId="572">
      <pivotArea field="0" dataOnly="0" labelOnly="1" grandRow="1" outline="0" axis="axisRow" fieldPosition="0">
        <references count="1">
          <reference field="4294967294" count="1" selected="0">
            <x v="14"/>
          </reference>
        </references>
      </pivotArea>
    </format>
    <format dxfId="571">
      <pivotArea field="0" dataOnly="0" labelOnly="1" grandRow="1" outline="0" axis="axisRow" fieldPosition="0">
        <references count="1">
          <reference field="4294967294" count="1" selected="0">
            <x v="15"/>
          </reference>
        </references>
      </pivotArea>
    </format>
    <format dxfId="570">
      <pivotArea field="0" dataOnly="0" labelOnly="1" grandRow="1" outline="0" axis="axisRow" fieldPosition="0">
        <references count="1">
          <reference field="4294967294" count="1" selected="0">
            <x v="16"/>
          </reference>
        </references>
      </pivotArea>
    </format>
    <format dxfId="569">
      <pivotArea field="0" dataOnly="0" labelOnly="1" grandRow="1" outline="0" axis="axisRow" fieldPosition="0">
        <references count="1">
          <reference field="4294967294" count="1" selected="0">
            <x v="17"/>
          </reference>
        </references>
      </pivotArea>
    </format>
    <format dxfId="568">
      <pivotArea field="0" dataOnly="0" labelOnly="1" grandRow="1" outline="0" axis="axisRow" fieldPosition="0">
        <references count="1">
          <reference field="4294967294" count="1" selected="0">
            <x v="18"/>
          </reference>
        </references>
      </pivotArea>
    </format>
    <format dxfId="567">
      <pivotArea field="0" dataOnly="0" labelOnly="1" grandRow="1" outline="0" axis="axisRow" fieldPosition="0">
        <references count="1">
          <reference field="4294967294" count="1" selected="0">
            <x v="19"/>
          </reference>
        </references>
      </pivotArea>
    </format>
    <format dxfId="566">
      <pivotArea field="0" dataOnly="0" labelOnly="1" grandRow="1" outline="0" axis="axisRow" fieldPosition="0">
        <references count="1">
          <reference field="4294967294" count="1" selected="0">
            <x v="20"/>
          </reference>
        </references>
      </pivotArea>
    </format>
    <format dxfId="565">
      <pivotArea field="0" dataOnly="0" labelOnly="1" grandRow="1" outline="0" axis="axisRow" fieldPosition="0">
        <references count="1">
          <reference field="4294967294" count="1" selected="0">
            <x v="21"/>
          </reference>
        </references>
      </pivotArea>
    </format>
    <format dxfId="564">
      <pivotArea field="0" dataOnly="0" labelOnly="1" grandRow="1" outline="0" axis="axisRow" fieldPosition="0">
        <references count="1">
          <reference field="4294967294" count="1" selected="0">
            <x v="22"/>
          </reference>
        </references>
      </pivotArea>
    </format>
    <format dxfId="563">
      <pivotArea field="0" dataOnly="0" labelOnly="1" grandRow="1" outline="0" axis="axisRow" fieldPosition="0">
        <references count="1">
          <reference field="4294967294" count="1" selected="0">
            <x v="23"/>
          </reference>
        </references>
      </pivotArea>
    </format>
    <format dxfId="562">
      <pivotArea field="0" dataOnly="0" labelOnly="1" grandRow="1" outline="0" axis="axisRow" fieldPosition="0">
        <references count="1">
          <reference field="4294967294" count="1" selected="0">
            <x v="24"/>
          </reference>
        </references>
      </pivotArea>
    </format>
    <format dxfId="561">
      <pivotArea field="0" dataOnly="0" labelOnly="1" grandRow="1" outline="0" axis="axisRow" fieldPosition="0">
        <references count="1">
          <reference field="4294967294" count="1" selected="0">
            <x v="25"/>
          </reference>
        </references>
      </pivotArea>
    </format>
    <format dxfId="560">
      <pivotArea field="0" dataOnly="0" labelOnly="1" grandRow="1" outline="0" axis="axisRow" fieldPosition="0">
        <references count="1">
          <reference field="4294967294" count="1" selected="0">
            <x v="26"/>
          </reference>
        </references>
      </pivotArea>
    </format>
    <format dxfId="559">
      <pivotArea field="0" dataOnly="0" labelOnly="1" grandRow="1" outline="0" axis="axisRow" fieldPosition="0">
        <references count="1">
          <reference field="4294967294" count="1" selected="0">
            <x v="27"/>
          </reference>
        </references>
      </pivotArea>
    </format>
    <format dxfId="558">
      <pivotArea field="0" dataOnly="0" labelOnly="1" grandRow="1" outline="0" axis="axisRow" fieldPosition="0">
        <references count="1">
          <reference field="4294967294" count="1" selected="0">
            <x v="28"/>
          </reference>
        </references>
      </pivotArea>
    </format>
    <format dxfId="557">
      <pivotArea field="0" dataOnly="0" labelOnly="1" grandRow="1" outline="0" axis="axisRow" fieldPosition="0">
        <references count="1">
          <reference field="4294967294" count="1" selected="0">
            <x v="29"/>
          </reference>
        </references>
      </pivotArea>
    </format>
    <format dxfId="556">
      <pivotArea field="0" dataOnly="0" labelOnly="1" grandRow="1" outline="0" axis="axisRow" fieldPosition="0">
        <references count="1">
          <reference field="4294967294" count="1" selected="0">
            <x v="30"/>
          </reference>
        </references>
      </pivotArea>
    </format>
    <format dxfId="555">
      <pivotArea field="0" dataOnly="0" labelOnly="1" grandRow="1" outline="0" axis="axisRow" fieldPosition="0">
        <references count="1">
          <reference field="4294967294" count="1" selected="0">
            <x v="31"/>
          </reference>
        </references>
      </pivotArea>
    </format>
    <format dxfId="554">
      <pivotArea field="0" dataOnly="0" labelOnly="1" grandRow="1" outline="0" axis="axisRow" fieldPosition="0">
        <references count="1">
          <reference field="4294967294" count="1" selected="0">
            <x v="32"/>
          </reference>
        </references>
      </pivotArea>
    </format>
    <format dxfId="553">
      <pivotArea field="0" dataOnly="0" labelOnly="1" grandRow="1" outline="0" axis="axisRow" fieldPosition="0">
        <references count="1">
          <reference field="4294967294" count="1" selected="0">
            <x v="33"/>
          </reference>
        </references>
      </pivotArea>
    </format>
    <format dxfId="552">
      <pivotArea field="0" dataOnly="0" labelOnly="1" grandRow="1" outline="0" axis="axisRow" fieldPosition="0">
        <references count="1">
          <reference field="4294967294" count="1" selected="0">
            <x v="34"/>
          </reference>
        </references>
      </pivotArea>
    </format>
    <format dxfId="551">
      <pivotArea field="0" dataOnly="0" labelOnly="1" grandRow="1" outline="0" axis="axisRow" fieldPosition="0">
        <references count="1">
          <reference field="4294967294" count="1" selected="0">
            <x v="35"/>
          </reference>
        </references>
      </pivotArea>
    </format>
    <format dxfId="550">
      <pivotArea field="0" dataOnly="0" labelOnly="1" grandRow="1" outline="0" axis="axisRow" fieldPosition="0">
        <references count="1">
          <reference field="4294967294" count="1" selected="0">
            <x v="0"/>
          </reference>
        </references>
      </pivotArea>
    </format>
    <format dxfId="549">
      <pivotArea field="0" dataOnly="0" labelOnly="1" grandRow="1" outline="0" axis="axisRow" fieldPosition="0">
        <references count="1">
          <reference field="4294967294" count="1" selected="0">
            <x v="1"/>
          </reference>
        </references>
      </pivotArea>
    </format>
    <format dxfId="548">
      <pivotArea field="0" dataOnly="0" labelOnly="1" grandRow="1" outline="0" axis="axisRow" fieldPosition="0">
        <references count="1">
          <reference field="4294967294" count="1" selected="0">
            <x v="2"/>
          </reference>
        </references>
      </pivotArea>
    </format>
    <format dxfId="547">
      <pivotArea field="0" dataOnly="0" labelOnly="1" grandRow="1" outline="0" axis="axisRow" fieldPosition="0">
        <references count="1">
          <reference field="4294967294" count="1" selected="0">
            <x v="3"/>
          </reference>
        </references>
      </pivotArea>
    </format>
    <format dxfId="546">
      <pivotArea field="0" dataOnly="0" labelOnly="1" grandRow="1" outline="0" axis="axisRow" fieldPosition="0">
        <references count="1">
          <reference field="4294967294" count="1" selected="0">
            <x v="4"/>
          </reference>
        </references>
      </pivotArea>
    </format>
    <format dxfId="545">
      <pivotArea field="0" dataOnly="0" labelOnly="1" grandRow="1" outline="0" axis="axisRow" fieldPosition="0">
        <references count="1">
          <reference field="4294967294" count="1" selected="0">
            <x v="5"/>
          </reference>
        </references>
      </pivotArea>
    </format>
    <format dxfId="544">
      <pivotArea field="0" dataOnly="0" labelOnly="1" grandRow="1" outline="0" axis="axisRow" fieldPosition="0">
        <references count="1">
          <reference field="4294967294" count="1" selected="0">
            <x v="6"/>
          </reference>
        </references>
      </pivotArea>
    </format>
    <format dxfId="543">
      <pivotArea field="0" dataOnly="0" labelOnly="1" grandRow="1" outline="0" axis="axisRow" fieldPosition="0">
        <references count="1">
          <reference field="4294967294" count="1" selected="0">
            <x v="7"/>
          </reference>
        </references>
      </pivotArea>
    </format>
    <format dxfId="542">
      <pivotArea field="0" dataOnly="0" labelOnly="1" grandRow="1" outline="0" axis="axisRow" fieldPosition="0">
        <references count="1">
          <reference field="4294967294" count="1" selected="0">
            <x v="8"/>
          </reference>
        </references>
      </pivotArea>
    </format>
    <format dxfId="541">
      <pivotArea field="0" dataOnly="0" labelOnly="1" grandRow="1" outline="0" axis="axisRow" fieldPosition="0">
        <references count="1">
          <reference field="4294967294" count="1" selected="0">
            <x v="9"/>
          </reference>
        </references>
      </pivotArea>
    </format>
    <format dxfId="540">
      <pivotArea field="0" dataOnly="0" labelOnly="1" grandRow="1" outline="0" axis="axisRow" fieldPosition="0">
        <references count="1">
          <reference field="4294967294" count="1" selected="0">
            <x v="10"/>
          </reference>
        </references>
      </pivotArea>
    </format>
    <format dxfId="539">
      <pivotArea field="0" dataOnly="0" labelOnly="1" grandRow="1" outline="0" axis="axisRow" fieldPosition="0">
        <references count="1">
          <reference field="4294967294" count="1" selected="0">
            <x v="11"/>
          </reference>
        </references>
      </pivotArea>
    </format>
    <format dxfId="538">
      <pivotArea field="0" dataOnly="0" labelOnly="1" grandRow="1" outline="0" axis="axisRow" fieldPosition="0">
        <references count="1">
          <reference field="4294967294" count="1" selected="0">
            <x v="12"/>
          </reference>
        </references>
      </pivotArea>
    </format>
    <format dxfId="537">
      <pivotArea field="0" dataOnly="0" labelOnly="1" grandRow="1" outline="0" axis="axisRow" fieldPosition="0">
        <references count="1">
          <reference field="4294967294" count="1" selected="0">
            <x v="13"/>
          </reference>
        </references>
      </pivotArea>
    </format>
    <format dxfId="536">
      <pivotArea field="0" dataOnly="0" labelOnly="1" grandRow="1" outline="0" axis="axisRow" fieldPosition="0">
        <references count="1">
          <reference field="4294967294" count="1" selected="0">
            <x v="14"/>
          </reference>
        </references>
      </pivotArea>
    </format>
    <format dxfId="535">
      <pivotArea field="0" dataOnly="0" labelOnly="1" grandRow="1" outline="0" axis="axisRow" fieldPosition="0">
        <references count="1">
          <reference field="4294967294" count="1" selected="0">
            <x v="15"/>
          </reference>
        </references>
      </pivotArea>
    </format>
    <format dxfId="534">
      <pivotArea field="0" dataOnly="0" labelOnly="1" grandRow="1" outline="0" axis="axisRow" fieldPosition="0">
        <references count="1">
          <reference field="4294967294" count="1" selected="0">
            <x v="16"/>
          </reference>
        </references>
      </pivotArea>
    </format>
    <format dxfId="533">
      <pivotArea field="0" dataOnly="0" labelOnly="1" grandRow="1" outline="0" axis="axisRow" fieldPosition="0">
        <references count="1">
          <reference field="4294967294" count="1" selected="0">
            <x v="17"/>
          </reference>
        </references>
      </pivotArea>
    </format>
    <format dxfId="532">
      <pivotArea field="0" dataOnly="0" labelOnly="1" grandRow="1" outline="0" axis="axisRow" fieldPosition="0">
        <references count="1">
          <reference field="4294967294" count="1" selected="0">
            <x v="18"/>
          </reference>
        </references>
      </pivotArea>
    </format>
    <format dxfId="531">
      <pivotArea field="0" dataOnly="0" labelOnly="1" grandRow="1" outline="0" axis="axisRow" fieldPosition="0">
        <references count="1">
          <reference field="4294967294" count="1" selected="0">
            <x v="19"/>
          </reference>
        </references>
      </pivotArea>
    </format>
    <format dxfId="530">
      <pivotArea field="0" dataOnly="0" labelOnly="1" grandRow="1" outline="0" axis="axisRow" fieldPosition="0">
        <references count="1">
          <reference field="4294967294" count="1" selected="0">
            <x v="20"/>
          </reference>
        </references>
      </pivotArea>
    </format>
    <format dxfId="529">
      <pivotArea field="0" dataOnly="0" labelOnly="1" grandRow="1" outline="0" axis="axisRow" fieldPosition="0">
        <references count="1">
          <reference field="4294967294" count="1" selected="0">
            <x v="21"/>
          </reference>
        </references>
      </pivotArea>
    </format>
    <format dxfId="528">
      <pivotArea field="0" dataOnly="0" labelOnly="1" grandRow="1" outline="0" axis="axisRow" fieldPosition="0">
        <references count="1">
          <reference field="4294967294" count="1" selected="0">
            <x v="22"/>
          </reference>
        </references>
      </pivotArea>
    </format>
    <format dxfId="527">
      <pivotArea field="0" dataOnly="0" labelOnly="1" grandRow="1" outline="0" axis="axisRow" fieldPosition="0">
        <references count="1">
          <reference field="4294967294" count="1" selected="0">
            <x v="23"/>
          </reference>
        </references>
      </pivotArea>
    </format>
    <format dxfId="526">
      <pivotArea field="0" dataOnly="0" labelOnly="1" grandRow="1" outline="0" axis="axisRow" fieldPosition="0">
        <references count="1">
          <reference field="4294967294" count="1" selected="0">
            <x v="24"/>
          </reference>
        </references>
      </pivotArea>
    </format>
    <format dxfId="525">
      <pivotArea field="0" dataOnly="0" labelOnly="1" grandRow="1" outline="0" axis="axisRow" fieldPosition="0">
        <references count="1">
          <reference field="4294967294" count="1" selected="0">
            <x v="25"/>
          </reference>
        </references>
      </pivotArea>
    </format>
    <format dxfId="524">
      <pivotArea field="0" dataOnly="0" labelOnly="1" grandRow="1" outline="0" axis="axisRow" fieldPosition="0">
        <references count="1">
          <reference field="4294967294" count="1" selected="0">
            <x v="26"/>
          </reference>
        </references>
      </pivotArea>
    </format>
    <format dxfId="523">
      <pivotArea field="0" dataOnly="0" labelOnly="1" grandRow="1" outline="0" axis="axisRow" fieldPosition="0">
        <references count="1">
          <reference field="4294967294" count="1" selected="0">
            <x v="27"/>
          </reference>
        </references>
      </pivotArea>
    </format>
    <format dxfId="522">
      <pivotArea field="0" dataOnly="0" labelOnly="1" grandRow="1" outline="0" axis="axisRow" fieldPosition="0">
        <references count="1">
          <reference field="4294967294" count="1" selected="0">
            <x v="28"/>
          </reference>
        </references>
      </pivotArea>
    </format>
    <format dxfId="521">
      <pivotArea field="0" dataOnly="0" labelOnly="1" grandRow="1" outline="0" axis="axisRow" fieldPosition="0">
        <references count="1">
          <reference field="4294967294" count="1" selected="0">
            <x v="29"/>
          </reference>
        </references>
      </pivotArea>
    </format>
    <format dxfId="520">
      <pivotArea field="0" dataOnly="0" labelOnly="1" grandRow="1" outline="0" axis="axisRow" fieldPosition="0">
        <references count="1">
          <reference field="4294967294" count="1" selected="0">
            <x v="30"/>
          </reference>
        </references>
      </pivotArea>
    </format>
    <format dxfId="519">
      <pivotArea field="0" dataOnly="0" labelOnly="1" grandRow="1" outline="0" axis="axisRow" fieldPosition="0">
        <references count="1">
          <reference field="4294967294" count="1" selected="0">
            <x v="31"/>
          </reference>
        </references>
      </pivotArea>
    </format>
    <format dxfId="518">
      <pivotArea field="0" dataOnly="0" labelOnly="1" grandRow="1" outline="0" axis="axisRow" fieldPosition="0">
        <references count="1">
          <reference field="4294967294" count="1" selected="0">
            <x v="32"/>
          </reference>
        </references>
      </pivotArea>
    </format>
    <format dxfId="517">
      <pivotArea field="0" dataOnly="0" labelOnly="1" grandRow="1" outline="0" axis="axisRow" fieldPosition="0">
        <references count="1">
          <reference field="4294967294" count="1" selected="0">
            <x v="33"/>
          </reference>
        </references>
      </pivotArea>
    </format>
    <format dxfId="516">
      <pivotArea field="0" dataOnly="0" labelOnly="1" grandRow="1" outline="0" axis="axisRow" fieldPosition="0">
        <references count="1">
          <reference field="4294967294" count="1" selected="0">
            <x v="34"/>
          </reference>
        </references>
      </pivotArea>
    </format>
    <format dxfId="515">
      <pivotArea field="0" dataOnly="0" labelOnly="1" grandRow="1" outline="0" axis="axisRow" fieldPosition="0">
        <references count="1">
          <reference field="4294967294" count="1" selected="0">
            <x v="35"/>
          </reference>
        </references>
      </pivotArea>
    </format>
    <format dxfId="514">
      <pivotArea field="0" dataOnly="0" labelOnly="1" grandRow="1" outline="0" axis="axisRow" fieldPosition="0">
        <references count="1">
          <reference field="4294967294" count="1" selected="0">
            <x v="0"/>
          </reference>
        </references>
      </pivotArea>
    </format>
    <format dxfId="513">
      <pivotArea field="0" dataOnly="0" labelOnly="1" grandRow="1" outline="0" axis="axisRow" fieldPosition="0">
        <references count="1">
          <reference field="4294967294" count="1" selected="0">
            <x v="1"/>
          </reference>
        </references>
      </pivotArea>
    </format>
    <format dxfId="512">
      <pivotArea field="0" dataOnly="0" labelOnly="1" grandRow="1" outline="0" axis="axisRow" fieldPosition="0">
        <references count="1">
          <reference field="4294967294" count="1" selected="0">
            <x v="2"/>
          </reference>
        </references>
      </pivotArea>
    </format>
    <format dxfId="511">
      <pivotArea field="0" dataOnly="0" labelOnly="1" grandRow="1" outline="0" axis="axisRow" fieldPosition="0">
        <references count="1">
          <reference field="4294967294" count="1" selected="0">
            <x v="3"/>
          </reference>
        </references>
      </pivotArea>
    </format>
    <format dxfId="510">
      <pivotArea field="0" dataOnly="0" labelOnly="1" grandRow="1" outline="0" axis="axisRow" fieldPosition="0">
        <references count="1">
          <reference field="4294967294" count="1" selected="0">
            <x v="4"/>
          </reference>
        </references>
      </pivotArea>
    </format>
    <format dxfId="509">
      <pivotArea field="0" dataOnly="0" labelOnly="1" grandRow="1" outline="0" axis="axisRow" fieldPosition="0">
        <references count="1">
          <reference field="4294967294" count="1" selected="0">
            <x v="5"/>
          </reference>
        </references>
      </pivotArea>
    </format>
    <format dxfId="508">
      <pivotArea field="0" dataOnly="0" labelOnly="1" grandRow="1" outline="0" axis="axisRow" fieldPosition="0">
        <references count="1">
          <reference field="4294967294" count="1" selected="0">
            <x v="6"/>
          </reference>
        </references>
      </pivotArea>
    </format>
    <format dxfId="507">
      <pivotArea field="0" dataOnly="0" labelOnly="1" grandRow="1" outline="0" axis="axisRow" fieldPosition="0">
        <references count="1">
          <reference field="4294967294" count="1" selected="0">
            <x v="7"/>
          </reference>
        </references>
      </pivotArea>
    </format>
    <format dxfId="506">
      <pivotArea field="0" dataOnly="0" labelOnly="1" grandRow="1" outline="0" axis="axisRow" fieldPosition="0">
        <references count="1">
          <reference field="4294967294" count="1" selected="0">
            <x v="8"/>
          </reference>
        </references>
      </pivotArea>
    </format>
    <format dxfId="505">
      <pivotArea field="0" dataOnly="0" labelOnly="1" grandRow="1" outline="0" axis="axisRow" fieldPosition="0">
        <references count="1">
          <reference field="4294967294" count="1" selected="0">
            <x v="9"/>
          </reference>
        </references>
      </pivotArea>
    </format>
    <format dxfId="504">
      <pivotArea field="0" dataOnly="0" labelOnly="1" grandRow="1" outline="0" axis="axisRow" fieldPosition="0">
        <references count="1">
          <reference field="4294967294" count="1" selected="0">
            <x v="10"/>
          </reference>
        </references>
      </pivotArea>
    </format>
    <format dxfId="503">
      <pivotArea field="0" dataOnly="0" labelOnly="1" grandRow="1" outline="0" axis="axisRow" fieldPosition="0">
        <references count="1">
          <reference field="4294967294" count="1" selected="0">
            <x v="11"/>
          </reference>
        </references>
      </pivotArea>
    </format>
    <format dxfId="502">
      <pivotArea field="0" dataOnly="0" labelOnly="1" grandRow="1" outline="0" axis="axisRow" fieldPosition="0">
        <references count="1">
          <reference field="4294967294" count="1" selected="0">
            <x v="12"/>
          </reference>
        </references>
      </pivotArea>
    </format>
    <format dxfId="501">
      <pivotArea field="0" dataOnly="0" labelOnly="1" grandRow="1" outline="0" axis="axisRow" fieldPosition="0">
        <references count="1">
          <reference field="4294967294" count="1" selected="0">
            <x v="13"/>
          </reference>
        </references>
      </pivotArea>
    </format>
    <format dxfId="500">
      <pivotArea field="0" dataOnly="0" labelOnly="1" grandRow="1" outline="0" axis="axisRow" fieldPosition="0">
        <references count="1">
          <reference field="4294967294" count="1" selected="0">
            <x v="14"/>
          </reference>
        </references>
      </pivotArea>
    </format>
    <format dxfId="499">
      <pivotArea field="0" dataOnly="0" labelOnly="1" grandRow="1" outline="0" axis="axisRow" fieldPosition="0">
        <references count="1">
          <reference field="4294967294" count="1" selected="0">
            <x v="15"/>
          </reference>
        </references>
      </pivotArea>
    </format>
    <format dxfId="498">
      <pivotArea field="0" dataOnly="0" labelOnly="1" grandRow="1" outline="0" axis="axisRow" fieldPosition="0">
        <references count="1">
          <reference field="4294967294" count="1" selected="0">
            <x v="16"/>
          </reference>
        </references>
      </pivotArea>
    </format>
    <format dxfId="497">
      <pivotArea field="0" dataOnly="0" labelOnly="1" grandRow="1" outline="0" axis="axisRow" fieldPosition="0">
        <references count="1">
          <reference field="4294967294" count="1" selected="0">
            <x v="17"/>
          </reference>
        </references>
      </pivotArea>
    </format>
    <format dxfId="496">
      <pivotArea field="0" dataOnly="0" labelOnly="1" grandRow="1" outline="0" axis="axisRow" fieldPosition="0">
        <references count="1">
          <reference field="4294967294" count="1" selected="0">
            <x v="18"/>
          </reference>
        </references>
      </pivotArea>
    </format>
    <format dxfId="495">
      <pivotArea field="0" dataOnly="0" labelOnly="1" grandRow="1" outline="0" axis="axisRow" fieldPosition="0">
        <references count="1">
          <reference field="4294967294" count="1" selected="0">
            <x v="19"/>
          </reference>
        </references>
      </pivotArea>
    </format>
    <format dxfId="494">
      <pivotArea field="0" dataOnly="0" labelOnly="1" grandRow="1" outline="0" axis="axisRow" fieldPosition="0">
        <references count="1">
          <reference field="4294967294" count="1" selected="0">
            <x v="20"/>
          </reference>
        </references>
      </pivotArea>
    </format>
    <format dxfId="493">
      <pivotArea field="0" dataOnly="0" labelOnly="1" grandRow="1" outline="0" axis="axisRow" fieldPosition="0">
        <references count="1">
          <reference field="4294967294" count="1" selected="0">
            <x v="21"/>
          </reference>
        </references>
      </pivotArea>
    </format>
    <format dxfId="492">
      <pivotArea field="0" dataOnly="0" labelOnly="1" grandRow="1" outline="0" axis="axisRow" fieldPosition="0">
        <references count="1">
          <reference field="4294967294" count="1" selected="0">
            <x v="22"/>
          </reference>
        </references>
      </pivotArea>
    </format>
    <format dxfId="491">
      <pivotArea field="0" dataOnly="0" labelOnly="1" grandRow="1" outline="0" axis="axisRow" fieldPosition="0">
        <references count="1">
          <reference field="4294967294" count="1" selected="0">
            <x v="23"/>
          </reference>
        </references>
      </pivotArea>
    </format>
    <format dxfId="490">
      <pivotArea field="0" dataOnly="0" labelOnly="1" grandRow="1" outline="0" axis="axisRow" fieldPosition="0">
        <references count="1">
          <reference field="4294967294" count="1" selected="0">
            <x v="24"/>
          </reference>
        </references>
      </pivotArea>
    </format>
    <format dxfId="489">
      <pivotArea field="0" dataOnly="0" labelOnly="1" grandRow="1" outline="0" axis="axisRow" fieldPosition="0">
        <references count="1">
          <reference field="4294967294" count="1" selected="0">
            <x v="25"/>
          </reference>
        </references>
      </pivotArea>
    </format>
    <format dxfId="488">
      <pivotArea field="0" dataOnly="0" labelOnly="1" grandRow="1" outline="0" axis="axisRow" fieldPosition="0">
        <references count="1">
          <reference field="4294967294" count="1" selected="0">
            <x v="26"/>
          </reference>
        </references>
      </pivotArea>
    </format>
    <format dxfId="487">
      <pivotArea field="0" dataOnly="0" labelOnly="1" grandRow="1" outline="0" axis="axisRow" fieldPosition="0">
        <references count="1">
          <reference field="4294967294" count="1" selected="0">
            <x v="27"/>
          </reference>
        </references>
      </pivotArea>
    </format>
    <format dxfId="486">
      <pivotArea field="0" dataOnly="0" labelOnly="1" grandRow="1" outline="0" axis="axisRow" fieldPosition="0">
        <references count="1">
          <reference field="4294967294" count="1" selected="0">
            <x v="28"/>
          </reference>
        </references>
      </pivotArea>
    </format>
    <format dxfId="485">
      <pivotArea field="0" dataOnly="0" labelOnly="1" grandRow="1" outline="0" axis="axisRow" fieldPosition="0">
        <references count="1">
          <reference field="4294967294" count="1" selected="0">
            <x v="29"/>
          </reference>
        </references>
      </pivotArea>
    </format>
    <format dxfId="484">
      <pivotArea field="0" dataOnly="0" labelOnly="1" grandRow="1" outline="0" axis="axisRow" fieldPosition="0">
        <references count="1">
          <reference field="4294967294" count="1" selected="0">
            <x v="30"/>
          </reference>
        </references>
      </pivotArea>
    </format>
    <format dxfId="483">
      <pivotArea field="0" dataOnly="0" labelOnly="1" grandRow="1" outline="0" axis="axisRow" fieldPosition="0">
        <references count="1">
          <reference field="4294967294" count="1" selected="0">
            <x v="31"/>
          </reference>
        </references>
      </pivotArea>
    </format>
    <format dxfId="482">
      <pivotArea field="0" dataOnly="0" labelOnly="1" grandRow="1" outline="0" axis="axisRow" fieldPosition="0">
        <references count="1">
          <reference field="4294967294" count="1" selected="0">
            <x v="32"/>
          </reference>
        </references>
      </pivotArea>
    </format>
    <format dxfId="481">
      <pivotArea field="0" dataOnly="0" labelOnly="1" grandRow="1" outline="0" axis="axisRow" fieldPosition="0">
        <references count="1">
          <reference field="4294967294" count="1" selected="0">
            <x v="33"/>
          </reference>
        </references>
      </pivotArea>
    </format>
    <format dxfId="480">
      <pivotArea field="0" dataOnly="0" labelOnly="1" grandRow="1" outline="0" axis="axisRow" fieldPosition="0">
        <references count="1">
          <reference field="4294967294" count="1" selected="0">
            <x v="34"/>
          </reference>
        </references>
      </pivotArea>
    </format>
    <format dxfId="479">
      <pivotArea field="0" dataOnly="0" labelOnly="1" grandRow="1" outline="0" axis="axisRow" fieldPosition="0">
        <references count="1">
          <reference field="4294967294" count="1" selected="0">
            <x v="35"/>
          </reference>
        </references>
      </pivotArea>
    </format>
    <format dxfId="478">
      <pivotArea field="0" dataOnly="0" labelOnly="1" grandRow="1" outline="0" axis="axisRow" fieldPosition="0">
        <references count="1">
          <reference field="4294967294" count="1" selected="0">
            <x v="0"/>
          </reference>
        </references>
      </pivotArea>
    </format>
    <format dxfId="477">
      <pivotArea field="0" dataOnly="0" labelOnly="1" grandRow="1" outline="0" axis="axisRow" fieldPosition="0">
        <references count="1">
          <reference field="4294967294" count="1" selected="0">
            <x v="1"/>
          </reference>
        </references>
      </pivotArea>
    </format>
    <format dxfId="476">
      <pivotArea field="0" dataOnly="0" labelOnly="1" grandRow="1" outline="0" axis="axisRow" fieldPosition="0">
        <references count="1">
          <reference field="4294967294" count="1" selected="0">
            <x v="2"/>
          </reference>
        </references>
      </pivotArea>
    </format>
    <format dxfId="475">
      <pivotArea field="0" dataOnly="0" labelOnly="1" grandRow="1" outline="0" axis="axisRow" fieldPosition="0">
        <references count="1">
          <reference field="4294967294" count="1" selected="0">
            <x v="3"/>
          </reference>
        </references>
      </pivotArea>
    </format>
    <format dxfId="474">
      <pivotArea field="0" dataOnly="0" labelOnly="1" grandRow="1" outline="0" axis="axisRow" fieldPosition="0">
        <references count="1">
          <reference field="4294967294" count="1" selected="0">
            <x v="4"/>
          </reference>
        </references>
      </pivotArea>
    </format>
    <format dxfId="473">
      <pivotArea field="0" dataOnly="0" labelOnly="1" grandRow="1" outline="0" axis="axisRow" fieldPosition="0">
        <references count="1">
          <reference field="4294967294" count="1" selected="0">
            <x v="5"/>
          </reference>
        </references>
      </pivotArea>
    </format>
    <format dxfId="472">
      <pivotArea field="0" dataOnly="0" labelOnly="1" grandRow="1" outline="0" axis="axisRow" fieldPosition="0">
        <references count="1">
          <reference field="4294967294" count="1" selected="0">
            <x v="6"/>
          </reference>
        </references>
      </pivotArea>
    </format>
    <format dxfId="471">
      <pivotArea field="0" dataOnly="0" labelOnly="1" grandRow="1" outline="0" axis="axisRow" fieldPosition="0">
        <references count="1">
          <reference field="4294967294" count="1" selected="0">
            <x v="7"/>
          </reference>
        </references>
      </pivotArea>
    </format>
    <format dxfId="470">
      <pivotArea field="0" dataOnly="0" labelOnly="1" grandRow="1" outline="0" axis="axisRow" fieldPosition="0">
        <references count="1">
          <reference field="4294967294" count="1" selected="0">
            <x v="8"/>
          </reference>
        </references>
      </pivotArea>
    </format>
    <format dxfId="469">
      <pivotArea field="0" dataOnly="0" labelOnly="1" grandRow="1" outline="0" axis="axisRow" fieldPosition="0">
        <references count="1">
          <reference field="4294967294" count="1" selected="0">
            <x v="9"/>
          </reference>
        </references>
      </pivotArea>
    </format>
    <format dxfId="468">
      <pivotArea field="0" dataOnly="0" labelOnly="1" grandRow="1" outline="0" axis="axisRow" fieldPosition="0">
        <references count="1">
          <reference field="4294967294" count="1" selected="0">
            <x v="10"/>
          </reference>
        </references>
      </pivotArea>
    </format>
    <format dxfId="467">
      <pivotArea field="0" dataOnly="0" labelOnly="1" grandRow="1" outline="0" axis="axisRow" fieldPosition="0">
        <references count="1">
          <reference field="4294967294" count="1" selected="0">
            <x v="11"/>
          </reference>
        </references>
      </pivotArea>
    </format>
    <format dxfId="466">
      <pivotArea field="0" dataOnly="0" labelOnly="1" grandRow="1" outline="0" axis="axisRow" fieldPosition="0">
        <references count="1">
          <reference field="4294967294" count="1" selected="0">
            <x v="12"/>
          </reference>
        </references>
      </pivotArea>
    </format>
    <format dxfId="465">
      <pivotArea field="0" dataOnly="0" labelOnly="1" grandRow="1" outline="0" axis="axisRow" fieldPosition="0">
        <references count="1">
          <reference field="4294967294" count="1" selected="0">
            <x v="13"/>
          </reference>
        </references>
      </pivotArea>
    </format>
    <format dxfId="464">
      <pivotArea field="0" dataOnly="0" labelOnly="1" grandRow="1" outline="0" axis="axisRow" fieldPosition="0">
        <references count="1">
          <reference field="4294967294" count="1" selected="0">
            <x v="14"/>
          </reference>
        </references>
      </pivotArea>
    </format>
    <format dxfId="463">
      <pivotArea field="0" dataOnly="0" labelOnly="1" grandRow="1" outline="0" axis="axisRow" fieldPosition="0">
        <references count="1">
          <reference field="4294967294" count="1" selected="0">
            <x v="15"/>
          </reference>
        </references>
      </pivotArea>
    </format>
    <format dxfId="462">
      <pivotArea field="0" dataOnly="0" labelOnly="1" grandRow="1" outline="0" axis="axisRow" fieldPosition="0">
        <references count="1">
          <reference field="4294967294" count="1" selected="0">
            <x v="16"/>
          </reference>
        </references>
      </pivotArea>
    </format>
    <format dxfId="461">
      <pivotArea field="0" dataOnly="0" labelOnly="1" grandRow="1" outline="0" axis="axisRow" fieldPosition="0">
        <references count="1">
          <reference field="4294967294" count="1" selected="0">
            <x v="17"/>
          </reference>
        </references>
      </pivotArea>
    </format>
    <format dxfId="460">
      <pivotArea field="0" dataOnly="0" labelOnly="1" grandRow="1" outline="0" axis="axisRow" fieldPosition="0">
        <references count="1">
          <reference field="4294967294" count="1" selected="0">
            <x v="18"/>
          </reference>
        </references>
      </pivotArea>
    </format>
    <format dxfId="459">
      <pivotArea field="0" dataOnly="0" labelOnly="1" grandRow="1" outline="0" axis="axisRow" fieldPosition="0">
        <references count="1">
          <reference field="4294967294" count="1" selected="0">
            <x v="19"/>
          </reference>
        </references>
      </pivotArea>
    </format>
    <format dxfId="458">
      <pivotArea field="0" dataOnly="0" labelOnly="1" grandRow="1" outline="0" axis="axisRow" fieldPosition="0">
        <references count="1">
          <reference field="4294967294" count="1" selected="0">
            <x v="20"/>
          </reference>
        </references>
      </pivotArea>
    </format>
    <format dxfId="457">
      <pivotArea field="0" dataOnly="0" labelOnly="1" grandRow="1" outline="0" axis="axisRow" fieldPosition="0">
        <references count="1">
          <reference field="4294967294" count="1" selected="0">
            <x v="21"/>
          </reference>
        </references>
      </pivotArea>
    </format>
    <format dxfId="456">
      <pivotArea field="0" dataOnly="0" labelOnly="1" grandRow="1" outline="0" axis="axisRow" fieldPosition="0">
        <references count="1">
          <reference field="4294967294" count="1" selected="0">
            <x v="22"/>
          </reference>
        </references>
      </pivotArea>
    </format>
    <format dxfId="455">
      <pivotArea field="0" dataOnly="0" labelOnly="1" grandRow="1" outline="0" axis="axisRow" fieldPosition="0">
        <references count="1">
          <reference field="4294967294" count="1" selected="0">
            <x v="23"/>
          </reference>
        </references>
      </pivotArea>
    </format>
    <format dxfId="454">
      <pivotArea field="0" dataOnly="0" labelOnly="1" grandRow="1" outline="0" axis="axisRow" fieldPosition="0">
        <references count="1">
          <reference field="4294967294" count="1" selected="0">
            <x v="24"/>
          </reference>
        </references>
      </pivotArea>
    </format>
    <format dxfId="453">
      <pivotArea field="0" dataOnly="0" labelOnly="1" grandRow="1" outline="0" axis="axisRow" fieldPosition="0">
        <references count="1">
          <reference field="4294967294" count="1" selected="0">
            <x v="25"/>
          </reference>
        </references>
      </pivotArea>
    </format>
    <format dxfId="452">
      <pivotArea field="0" dataOnly="0" labelOnly="1" grandRow="1" outline="0" axis="axisRow" fieldPosition="0">
        <references count="1">
          <reference field="4294967294" count="1" selected="0">
            <x v="26"/>
          </reference>
        </references>
      </pivotArea>
    </format>
    <format dxfId="451">
      <pivotArea field="0" dataOnly="0" labelOnly="1" grandRow="1" outline="0" axis="axisRow" fieldPosition="0">
        <references count="1">
          <reference field="4294967294" count="1" selected="0">
            <x v="27"/>
          </reference>
        </references>
      </pivotArea>
    </format>
    <format dxfId="450">
      <pivotArea field="0" dataOnly="0" labelOnly="1" grandRow="1" outline="0" axis="axisRow" fieldPosition="0">
        <references count="1">
          <reference field="4294967294" count="1" selected="0">
            <x v="28"/>
          </reference>
        </references>
      </pivotArea>
    </format>
    <format dxfId="449">
      <pivotArea field="0" dataOnly="0" labelOnly="1" grandRow="1" outline="0" axis="axisRow" fieldPosition="0">
        <references count="1">
          <reference field="4294967294" count="1" selected="0">
            <x v="29"/>
          </reference>
        </references>
      </pivotArea>
    </format>
    <format dxfId="448">
      <pivotArea field="0" dataOnly="0" labelOnly="1" grandRow="1" outline="0" axis="axisRow" fieldPosition="0">
        <references count="1">
          <reference field="4294967294" count="1" selected="0">
            <x v="30"/>
          </reference>
        </references>
      </pivotArea>
    </format>
    <format dxfId="447">
      <pivotArea field="0" dataOnly="0" labelOnly="1" grandRow="1" outline="0" axis="axisRow" fieldPosition="0">
        <references count="1">
          <reference field="4294967294" count="1" selected="0">
            <x v="31"/>
          </reference>
        </references>
      </pivotArea>
    </format>
    <format dxfId="446">
      <pivotArea field="0" dataOnly="0" labelOnly="1" grandRow="1" outline="0" axis="axisRow" fieldPosition="0">
        <references count="1">
          <reference field="4294967294" count="1" selected="0">
            <x v="32"/>
          </reference>
        </references>
      </pivotArea>
    </format>
    <format dxfId="445">
      <pivotArea field="0" dataOnly="0" labelOnly="1" grandRow="1" outline="0" axis="axisRow" fieldPosition="0">
        <references count="1">
          <reference field="4294967294" count="1" selected="0">
            <x v="33"/>
          </reference>
        </references>
      </pivotArea>
    </format>
    <format dxfId="444">
      <pivotArea field="0" dataOnly="0" labelOnly="1" grandRow="1" outline="0" axis="axisRow" fieldPosition="0">
        <references count="1">
          <reference field="4294967294" count="1" selected="0">
            <x v="34"/>
          </reference>
        </references>
      </pivotArea>
    </format>
    <format dxfId="443">
      <pivotArea field="0" dataOnly="0" labelOnly="1" grandRow="1" outline="0" axis="axisRow" fieldPosition="0">
        <references count="1">
          <reference field="4294967294" count="1" selected="0">
            <x v="35"/>
          </reference>
        </references>
      </pivotArea>
    </format>
    <format dxfId="442">
      <pivotArea field="0" dataOnly="0" labelOnly="1" grandRow="1" outline="0" axis="axisRow" fieldPosition="0">
        <references count="1">
          <reference field="4294967294" count="1" selected="0">
            <x v="0"/>
          </reference>
        </references>
      </pivotArea>
    </format>
    <format dxfId="441">
      <pivotArea field="0" dataOnly="0" labelOnly="1" grandRow="1" outline="0" axis="axisRow" fieldPosition="0">
        <references count="1">
          <reference field="4294967294" count="1" selected="0">
            <x v="1"/>
          </reference>
        </references>
      </pivotArea>
    </format>
    <format dxfId="440">
      <pivotArea field="0" dataOnly="0" labelOnly="1" grandRow="1" outline="0" axis="axisRow" fieldPosition="0">
        <references count="1">
          <reference field="4294967294" count="1" selected="0">
            <x v="2"/>
          </reference>
        </references>
      </pivotArea>
    </format>
    <format dxfId="439">
      <pivotArea field="0" dataOnly="0" labelOnly="1" grandRow="1" outline="0" axis="axisRow" fieldPosition="0">
        <references count="1">
          <reference field="4294967294" count="1" selected="0">
            <x v="3"/>
          </reference>
        </references>
      </pivotArea>
    </format>
    <format dxfId="438">
      <pivotArea field="0" dataOnly="0" labelOnly="1" grandRow="1" outline="0" axis="axisRow" fieldPosition="0">
        <references count="1">
          <reference field="4294967294" count="1" selected="0">
            <x v="4"/>
          </reference>
        </references>
      </pivotArea>
    </format>
    <format dxfId="437">
      <pivotArea field="0" dataOnly="0" labelOnly="1" grandRow="1" outline="0" axis="axisRow" fieldPosition="0">
        <references count="1">
          <reference field="4294967294" count="1" selected="0">
            <x v="5"/>
          </reference>
        </references>
      </pivotArea>
    </format>
    <format dxfId="436">
      <pivotArea field="0" dataOnly="0" labelOnly="1" grandRow="1" outline="0" axis="axisRow" fieldPosition="0">
        <references count="1">
          <reference field="4294967294" count="1" selected="0">
            <x v="6"/>
          </reference>
        </references>
      </pivotArea>
    </format>
    <format dxfId="435">
      <pivotArea field="0" dataOnly="0" labelOnly="1" grandRow="1" outline="0" axis="axisRow" fieldPosition="0">
        <references count="1">
          <reference field="4294967294" count="1" selected="0">
            <x v="7"/>
          </reference>
        </references>
      </pivotArea>
    </format>
    <format dxfId="434">
      <pivotArea field="0" dataOnly="0" labelOnly="1" grandRow="1" outline="0" axis="axisRow" fieldPosition="0">
        <references count="1">
          <reference field="4294967294" count="1" selected="0">
            <x v="8"/>
          </reference>
        </references>
      </pivotArea>
    </format>
    <format dxfId="433">
      <pivotArea field="0" dataOnly="0" labelOnly="1" grandRow="1" outline="0" axis="axisRow" fieldPosition="0">
        <references count="1">
          <reference field="4294967294" count="1" selected="0">
            <x v="9"/>
          </reference>
        </references>
      </pivotArea>
    </format>
    <format dxfId="432">
      <pivotArea field="0" dataOnly="0" labelOnly="1" grandRow="1" outline="0" axis="axisRow" fieldPosition="0">
        <references count="1">
          <reference field="4294967294" count="1" selected="0">
            <x v="10"/>
          </reference>
        </references>
      </pivotArea>
    </format>
    <format dxfId="431">
      <pivotArea field="0" dataOnly="0" labelOnly="1" grandRow="1" outline="0" axis="axisRow" fieldPosition="0">
        <references count="1">
          <reference field="4294967294" count="1" selected="0">
            <x v="11"/>
          </reference>
        </references>
      </pivotArea>
    </format>
    <format dxfId="430">
      <pivotArea field="0" dataOnly="0" labelOnly="1" grandRow="1" outline="0" axis="axisRow" fieldPosition="0">
        <references count="1">
          <reference field="4294967294" count="1" selected="0">
            <x v="12"/>
          </reference>
        </references>
      </pivotArea>
    </format>
    <format dxfId="429">
      <pivotArea field="0" dataOnly="0" labelOnly="1" grandRow="1" outline="0" axis="axisRow" fieldPosition="0">
        <references count="1">
          <reference field="4294967294" count="1" selected="0">
            <x v="13"/>
          </reference>
        </references>
      </pivotArea>
    </format>
    <format dxfId="428">
      <pivotArea field="0" dataOnly="0" labelOnly="1" grandRow="1" outline="0" axis="axisRow" fieldPosition="0">
        <references count="1">
          <reference field="4294967294" count="1" selected="0">
            <x v="14"/>
          </reference>
        </references>
      </pivotArea>
    </format>
    <format dxfId="427">
      <pivotArea field="0" dataOnly="0" labelOnly="1" grandRow="1" outline="0" axis="axisRow" fieldPosition="0">
        <references count="1">
          <reference field="4294967294" count="1" selected="0">
            <x v="15"/>
          </reference>
        </references>
      </pivotArea>
    </format>
    <format dxfId="426">
      <pivotArea field="0" dataOnly="0" labelOnly="1" grandRow="1" outline="0" axis="axisRow" fieldPosition="0">
        <references count="1">
          <reference field="4294967294" count="1" selected="0">
            <x v="16"/>
          </reference>
        </references>
      </pivotArea>
    </format>
    <format dxfId="425">
      <pivotArea field="0" dataOnly="0" labelOnly="1" grandRow="1" outline="0" axis="axisRow" fieldPosition="0">
        <references count="1">
          <reference field="4294967294" count="1" selected="0">
            <x v="17"/>
          </reference>
        </references>
      </pivotArea>
    </format>
    <format dxfId="424">
      <pivotArea field="0" dataOnly="0" labelOnly="1" grandRow="1" outline="0" axis="axisRow" fieldPosition="0">
        <references count="1">
          <reference field="4294967294" count="1" selected="0">
            <x v="18"/>
          </reference>
        </references>
      </pivotArea>
    </format>
    <format dxfId="423">
      <pivotArea field="0" dataOnly="0" labelOnly="1" grandRow="1" outline="0" axis="axisRow" fieldPosition="0">
        <references count="1">
          <reference field="4294967294" count="1" selected="0">
            <x v="19"/>
          </reference>
        </references>
      </pivotArea>
    </format>
    <format dxfId="422">
      <pivotArea field="0" dataOnly="0" labelOnly="1" grandRow="1" outline="0" axis="axisRow" fieldPosition="0">
        <references count="1">
          <reference field="4294967294" count="1" selected="0">
            <x v="20"/>
          </reference>
        </references>
      </pivotArea>
    </format>
    <format dxfId="421">
      <pivotArea field="0" dataOnly="0" labelOnly="1" grandRow="1" outline="0" axis="axisRow" fieldPosition="0">
        <references count="1">
          <reference field="4294967294" count="1" selected="0">
            <x v="21"/>
          </reference>
        </references>
      </pivotArea>
    </format>
    <format dxfId="420">
      <pivotArea field="0" dataOnly="0" labelOnly="1" grandRow="1" outline="0" axis="axisRow" fieldPosition="0">
        <references count="1">
          <reference field="4294967294" count="1" selected="0">
            <x v="22"/>
          </reference>
        </references>
      </pivotArea>
    </format>
    <format dxfId="419">
      <pivotArea field="0" dataOnly="0" labelOnly="1" grandRow="1" outline="0" axis="axisRow" fieldPosition="0">
        <references count="1">
          <reference field="4294967294" count="1" selected="0">
            <x v="23"/>
          </reference>
        </references>
      </pivotArea>
    </format>
    <format dxfId="418">
      <pivotArea field="0" dataOnly="0" labelOnly="1" grandRow="1" outline="0" axis="axisRow" fieldPosition="0">
        <references count="1">
          <reference field="4294967294" count="1" selected="0">
            <x v="24"/>
          </reference>
        </references>
      </pivotArea>
    </format>
    <format dxfId="417">
      <pivotArea field="0" dataOnly="0" labelOnly="1" grandRow="1" outline="0" axis="axisRow" fieldPosition="0">
        <references count="1">
          <reference field="4294967294" count="1" selected="0">
            <x v="25"/>
          </reference>
        </references>
      </pivotArea>
    </format>
    <format dxfId="416">
      <pivotArea field="0" dataOnly="0" labelOnly="1" grandRow="1" outline="0" axis="axisRow" fieldPosition="0">
        <references count="1">
          <reference field="4294967294" count="1" selected="0">
            <x v="26"/>
          </reference>
        </references>
      </pivotArea>
    </format>
    <format dxfId="415">
      <pivotArea field="0" dataOnly="0" labelOnly="1" grandRow="1" outline="0" axis="axisRow" fieldPosition="0">
        <references count="1">
          <reference field="4294967294" count="1" selected="0">
            <x v="27"/>
          </reference>
        </references>
      </pivotArea>
    </format>
    <format dxfId="414">
      <pivotArea field="0" dataOnly="0" labelOnly="1" grandRow="1" outline="0" axis="axisRow" fieldPosition="0">
        <references count="1">
          <reference field="4294967294" count="1" selected="0">
            <x v="28"/>
          </reference>
        </references>
      </pivotArea>
    </format>
    <format dxfId="413">
      <pivotArea field="0" dataOnly="0" labelOnly="1" grandRow="1" outline="0" axis="axisRow" fieldPosition="0">
        <references count="1">
          <reference field="4294967294" count="1" selected="0">
            <x v="29"/>
          </reference>
        </references>
      </pivotArea>
    </format>
    <format dxfId="412">
      <pivotArea field="0" dataOnly="0" labelOnly="1" grandRow="1" outline="0" axis="axisRow" fieldPosition="0">
        <references count="1">
          <reference field="4294967294" count="1" selected="0">
            <x v="30"/>
          </reference>
        </references>
      </pivotArea>
    </format>
    <format dxfId="411">
      <pivotArea field="0" dataOnly="0" labelOnly="1" grandRow="1" outline="0" axis="axisRow" fieldPosition="0">
        <references count="1">
          <reference field="4294967294" count="1" selected="0">
            <x v="31"/>
          </reference>
        </references>
      </pivotArea>
    </format>
    <format dxfId="410">
      <pivotArea field="0" dataOnly="0" labelOnly="1" grandRow="1" outline="0" axis="axisRow" fieldPosition="0">
        <references count="1">
          <reference field="4294967294" count="1" selected="0">
            <x v="32"/>
          </reference>
        </references>
      </pivotArea>
    </format>
    <format dxfId="409">
      <pivotArea field="0" dataOnly="0" labelOnly="1" grandRow="1" outline="0" axis="axisRow" fieldPosition="0">
        <references count="1">
          <reference field="4294967294" count="1" selected="0">
            <x v="33"/>
          </reference>
        </references>
      </pivotArea>
    </format>
    <format dxfId="408">
      <pivotArea field="0" dataOnly="0" labelOnly="1" grandRow="1" outline="0" axis="axisRow" fieldPosition="0">
        <references count="1">
          <reference field="4294967294" count="1" selected="0">
            <x v="34"/>
          </reference>
        </references>
      </pivotArea>
    </format>
    <format dxfId="407">
      <pivotArea field="0" dataOnly="0" labelOnly="1" grandRow="1" outline="0" axis="axisRow" fieldPosition="0">
        <references count="1">
          <reference field="4294967294" count="1" selected="0">
            <x v="35"/>
          </reference>
        </references>
      </pivotArea>
    </format>
    <format dxfId="406">
      <pivotArea field="0" dataOnly="0" labelOnly="1" grandRow="1" outline="0" axis="axisRow" fieldPosition="0">
        <references count="1">
          <reference field="4294967294" count="1" selected="0">
            <x v="0"/>
          </reference>
        </references>
      </pivotArea>
    </format>
    <format dxfId="405">
      <pivotArea field="0" dataOnly="0" labelOnly="1" grandRow="1" outline="0" axis="axisRow" fieldPosition="0">
        <references count="1">
          <reference field="4294967294" count="1" selected="0">
            <x v="1"/>
          </reference>
        </references>
      </pivotArea>
    </format>
    <format dxfId="404">
      <pivotArea field="0" dataOnly="0" labelOnly="1" grandRow="1" outline="0" axis="axisRow" fieldPosition="0">
        <references count="1">
          <reference field="4294967294" count="1" selected="0">
            <x v="2"/>
          </reference>
        </references>
      </pivotArea>
    </format>
    <format dxfId="403">
      <pivotArea field="0" dataOnly="0" labelOnly="1" grandRow="1" outline="0" axis="axisRow" fieldPosition="0">
        <references count="1">
          <reference field="4294967294" count="1" selected="0">
            <x v="3"/>
          </reference>
        </references>
      </pivotArea>
    </format>
    <format dxfId="402">
      <pivotArea field="0" dataOnly="0" labelOnly="1" grandRow="1" outline="0" axis="axisRow" fieldPosition="0">
        <references count="1">
          <reference field="4294967294" count="1" selected="0">
            <x v="4"/>
          </reference>
        </references>
      </pivotArea>
    </format>
    <format dxfId="401">
      <pivotArea field="0" dataOnly="0" labelOnly="1" grandRow="1" outline="0" axis="axisRow" fieldPosition="0">
        <references count="1">
          <reference field="4294967294" count="1" selected="0">
            <x v="5"/>
          </reference>
        </references>
      </pivotArea>
    </format>
    <format dxfId="400">
      <pivotArea field="0" dataOnly="0" labelOnly="1" grandRow="1" outline="0" axis="axisRow" fieldPosition="0">
        <references count="1">
          <reference field="4294967294" count="1" selected="0">
            <x v="6"/>
          </reference>
        </references>
      </pivotArea>
    </format>
    <format dxfId="399">
      <pivotArea field="0" dataOnly="0" labelOnly="1" grandRow="1" outline="0" axis="axisRow" fieldPosition="0">
        <references count="1">
          <reference field="4294967294" count="1" selected="0">
            <x v="7"/>
          </reference>
        </references>
      </pivotArea>
    </format>
    <format dxfId="398">
      <pivotArea field="0" dataOnly="0" labelOnly="1" grandRow="1" outline="0" axis="axisRow" fieldPosition="0">
        <references count="1">
          <reference field="4294967294" count="1" selected="0">
            <x v="8"/>
          </reference>
        </references>
      </pivotArea>
    </format>
    <format dxfId="397">
      <pivotArea field="0" dataOnly="0" labelOnly="1" grandRow="1" outline="0" axis="axisRow" fieldPosition="0">
        <references count="1">
          <reference field="4294967294" count="1" selected="0">
            <x v="9"/>
          </reference>
        </references>
      </pivotArea>
    </format>
    <format dxfId="396">
      <pivotArea field="0" dataOnly="0" labelOnly="1" grandRow="1" outline="0" axis="axisRow" fieldPosition="0">
        <references count="1">
          <reference field="4294967294" count="1" selected="0">
            <x v="10"/>
          </reference>
        </references>
      </pivotArea>
    </format>
    <format dxfId="395">
      <pivotArea field="0" dataOnly="0" labelOnly="1" grandRow="1" outline="0" axis="axisRow" fieldPosition="0">
        <references count="1">
          <reference field="4294967294" count="1" selected="0">
            <x v="11"/>
          </reference>
        </references>
      </pivotArea>
    </format>
    <format dxfId="394">
      <pivotArea field="0" dataOnly="0" labelOnly="1" grandRow="1" outline="0" axis="axisRow" fieldPosition="0">
        <references count="1">
          <reference field="4294967294" count="1" selected="0">
            <x v="12"/>
          </reference>
        </references>
      </pivotArea>
    </format>
    <format dxfId="393">
      <pivotArea field="0" dataOnly="0" labelOnly="1" grandRow="1" outline="0" axis="axisRow" fieldPosition="0">
        <references count="1">
          <reference field="4294967294" count="1" selected="0">
            <x v="13"/>
          </reference>
        </references>
      </pivotArea>
    </format>
    <format dxfId="392">
      <pivotArea field="0" dataOnly="0" labelOnly="1" grandRow="1" outline="0" axis="axisRow" fieldPosition="0">
        <references count="1">
          <reference field="4294967294" count="1" selected="0">
            <x v="14"/>
          </reference>
        </references>
      </pivotArea>
    </format>
    <format dxfId="391">
      <pivotArea field="0" dataOnly="0" labelOnly="1" grandRow="1" outline="0" axis="axisRow" fieldPosition="0">
        <references count="1">
          <reference field="4294967294" count="1" selected="0">
            <x v="15"/>
          </reference>
        </references>
      </pivotArea>
    </format>
    <format dxfId="390">
      <pivotArea field="0" dataOnly="0" labelOnly="1" grandRow="1" outline="0" axis="axisRow" fieldPosition="0">
        <references count="1">
          <reference field="4294967294" count="1" selected="0">
            <x v="16"/>
          </reference>
        </references>
      </pivotArea>
    </format>
    <format dxfId="389">
      <pivotArea field="0" dataOnly="0" labelOnly="1" grandRow="1" outline="0" axis="axisRow" fieldPosition="0">
        <references count="1">
          <reference field="4294967294" count="1" selected="0">
            <x v="17"/>
          </reference>
        </references>
      </pivotArea>
    </format>
    <format dxfId="388">
      <pivotArea field="0" dataOnly="0" labelOnly="1" grandRow="1" outline="0" axis="axisRow" fieldPosition="0">
        <references count="1">
          <reference field="4294967294" count="1" selected="0">
            <x v="18"/>
          </reference>
        </references>
      </pivotArea>
    </format>
    <format dxfId="387">
      <pivotArea field="0" dataOnly="0" labelOnly="1" grandRow="1" outline="0" axis="axisRow" fieldPosition="0">
        <references count="1">
          <reference field="4294967294" count="1" selected="0">
            <x v="19"/>
          </reference>
        </references>
      </pivotArea>
    </format>
    <format dxfId="386">
      <pivotArea field="0" dataOnly="0" labelOnly="1" grandRow="1" outline="0" axis="axisRow" fieldPosition="0">
        <references count="1">
          <reference field="4294967294" count="1" selected="0">
            <x v="20"/>
          </reference>
        </references>
      </pivotArea>
    </format>
    <format dxfId="385">
      <pivotArea field="0" dataOnly="0" labelOnly="1" grandRow="1" outline="0" axis="axisRow" fieldPosition="0">
        <references count="1">
          <reference field="4294967294" count="1" selected="0">
            <x v="21"/>
          </reference>
        </references>
      </pivotArea>
    </format>
    <format dxfId="384">
      <pivotArea field="0" dataOnly="0" labelOnly="1" grandRow="1" outline="0" axis="axisRow" fieldPosition="0">
        <references count="1">
          <reference field="4294967294" count="1" selected="0">
            <x v="22"/>
          </reference>
        </references>
      </pivotArea>
    </format>
    <format dxfId="383">
      <pivotArea field="0" dataOnly="0" labelOnly="1" grandRow="1" outline="0" axis="axisRow" fieldPosition="0">
        <references count="1">
          <reference field="4294967294" count="1" selected="0">
            <x v="23"/>
          </reference>
        </references>
      </pivotArea>
    </format>
    <format dxfId="382">
      <pivotArea field="0" dataOnly="0" labelOnly="1" grandRow="1" outline="0" axis="axisRow" fieldPosition="0">
        <references count="1">
          <reference field="4294967294" count="1" selected="0">
            <x v="24"/>
          </reference>
        </references>
      </pivotArea>
    </format>
    <format dxfId="381">
      <pivotArea field="0" dataOnly="0" labelOnly="1" grandRow="1" outline="0" axis="axisRow" fieldPosition="0">
        <references count="1">
          <reference field="4294967294" count="1" selected="0">
            <x v="25"/>
          </reference>
        </references>
      </pivotArea>
    </format>
    <format dxfId="380">
      <pivotArea field="0" dataOnly="0" labelOnly="1" grandRow="1" outline="0" axis="axisRow" fieldPosition="0">
        <references count="1">
          <reference field="4294967294" count="1" selected="0">
            <x v="26"/>
          </reference>
        </references>
      </pivotArea>
    </format>
    <format dxfId="379">
      <pivotArea field="0" dataOnly="0" labelOnly="1" grandRow="1" outline="0" axis="axisRow" fieldPosition="0">
        <references count="1">
          <reference field="4294967294" count="1" selected="0">
            <x v="27"/>
          </reference>
        </references>
      </pivotArea>
    </format>
    <format dxfId="378">
      <pivotArea field="0" dataOnly="0" labelOnly="1" grandRow="1" outline="0" axis="axisRow" fieldPosition="0">
        <references count="1">
          <reference field="4294967294" count="1" selected="0">
            <x v="28"/>
          </reference>
        </references>
      </pivotArea>
    </format>
    <format dxfId="377">
      <pivotArea field="0" dataOnly="0" labelOnly="1" grandRow="1" outline="0" axis="axisRow" fieldPosition="0">
        <references count="1">
          <reference field="4294967294" count="1" selected="0">
            <x v="29"/>
          </reference>
        </references>
      </pivotArea>
    </format>
    <format dxfId="376">
      <pivotArea field="0" dataOnly="0" labelOnly="1" grandRow="1" outline="0" axis="axisRow" fieldPosition="0">
        <references count="1">
          <reference field="4294967294" count="1" selected="0">
            <x v="30"/>
          </reference>
        </references>
      </pivotArea>
    </format>
    <format dxfId="375">
      <pivotArea field="0" dataOnly="0" labelOnly="1" grandRow="1" outline="0" axis="axisRow" fieldPosition="0">
        <references count="1">
          <reference field="4294967294" count="1" selected="0">
            <x v="31"/>
          </reference>
        </references>
      </pivotArea>
    </format>
    <format dxfId="374">
      <pivotArea field="0" dataOnly="0" labelOnly="1" grandRow="1" outline="0" axis="axisRow" fieldPosition="0">
        <references count="1">
          <reference field="4294967294" count="1" selected="0">
            <x v="32"/>
          </reference>
        </references>
      </pivotArea>
    </format>
    <format dxfId="373">
      <pivotArea field="0" dataOnly="0" labelOnly="1" grandRow="1" outline="0" axis="axisRow" fieldPosition="0">
        <references count="1">
          <reference field="4294967294" count="1" selected="0">
            <x v="33"/>
          </reference>
        </references>
      </pivotArea>
    </format>
    <format dxfId="372">
      <pivotArea field="0" dataOnly="0" labelOnly="1" grandRow="1" outline="0" axis="axisRow" fieldPosition="0">
        <references count="1">
          <reference field="4294967294" count="1" selected="0">
            <x v="34"/>
          </reference>
        </references>
      </pivotArea>
    </format>
    <format dxfId="371">
      <pivotArea field="0" dataOnly="0" labelOnly="1" grandRow="1" outline="0" axis="axisRow" fieldPosition="0">
        <references count="1">
          <reference field="4294967294" count="1" selected="0">
            <x v="35"/>
          </reference>
        </references>
      </pivotArea>
    </format>
    <format dxfId="370">
      <pivotArea field="0" dataOnly="0" labelOnly="1" grandRow="1" outline="0" axis="axisRow" fieldPosition="0">
        <references count="1">
          <reference field="4294967294" count="1" selected="0">
            <x v="0"/>
          </reference>
        </references>
      </pivotArea>
    </format>
    <format dxfId="369">
      <pivotArea field="0" dataOnly="0" labelOnly="1" grandRow="1" outline="0" axis="axisRow" fieldPosition="0">
        <references count="1">
          <reference field="4294967294" count="1" selected="0">
            <x v="1"/>
          </reference>
        </references>
      </pivotArea>
    </format>
    <format dxfId="368">
      <pivotArea field="0" dataOnly="0" labelOnly="1" grandRow="1" outline="0" axis="axisRow" fieldPosition="0">
        <references count="1">
          <reference field="4294967294" count="1" selected="0">
            <x v="2"/>
          </reference>
        </references>
      </pivotArea>
    </format>
    <format dxfId="367">
      <pivotArea field="0" dataOnly="0" labelOnly="1" grandRow="1" outline="0" axis="axisRow" fieldPosition="0">
        <references count="1">
          <reference field="4294967294" count="1" selected="0">
            <x v="3"/>
          </reference>
        </references>
      </pivotArea>
    </format>
    <format dxfId="366">
      <pivotArea field="0" dataOnly="0" labelOnly="1" grandRow="1" outline="0" axis="axisRow" fieldPosition="0">
        <references count="1">
          <reference field="4294967294" count="1" selected="0">
            <x v="4"/>
          </reference>
        </references>
      </pivotArea>
    </format>
    <format dxfId="365">
      <pivotArea field="0" dataOnly="0" labelOnly="1" grandRow="1" outline="0" axis="axisRow" fieldPosition="0">
        <references count="1">
          <reference field="4294967294" count="1" selected="0">
            <x v="5"/>
          </reference>
        </references>
      </pivotArea>
    </format>
    <format dxfId="364">
      <pivotArea field="0" dataOnly="0" labelOnly="1" grandRow="1" outline="0" axis="axisRow" fieldPosition="0">
        <references count="1">
          <reference field="4294967294" count="1" selected="0">
            <x v="6"/>
          </reference>
        </references>
      </pivotArea>
    </format>
    <format dxfId="363">
      <pivotArea field="0" dataOnly="0" labelOnly="1" grandRow="1" outline="0" axis="axisRow" fieldPosition="0">
        <references count="1">
          <reference field="4294967294" count="1" selected="0">
            <x v="7"/>
          </reference>
        </references>
      </pivotArea>
    </format>
    <format dxfId="362">
      <pivotArea field="0" dataOnly="0" labelOnly="1" grandRow="1" outline="0" axis="axisRow" fieldPosition="0">
        <references count="1">
          <reference field="4294967294" count="1" selected="0">
            <x v="8"/>
          </reference>
        </references>
      </pivotArea>
    </format>
    <format dxfId="361">
      <pivotArea field="0" dataOnly="0" labelOnly="1" grandRow="1" outline="0" axis="axisRow" fieldPosition="0">
        <references count="1">
          <reference field="4294967294" count="1" selected="0">
            <x v="9"/>
          </reference>
        </references>
      </pivotArea>
    </format>
    <format dxfId="360">
      <pivotArea field="0" dataOnly="0" labelOnly="1" grandRow="1" outline="0" axis="axisRow" fieldPosition="0">
        <references count="1">
          <reference field="4294967294" count="1" selected="0">
            <x v="10"/>
          </reference>
        </references>
      </pivotArea>
    </format>
    <format dxfId="359">
      <pivotArea field="0" dataOnly="0" labelOnly="1" grandRow="1" outline="0" axis="axisRow" fieldPosition="0">
        <references count="1">
          <reference field="4294967294" count="1" selected="0">
            <x v="11"/>
          </reference>
        </references>
      </pivotArea>
    </format>
    <format dxfId="358">
      <pivotArea field="0" dataOnly="0" labelOnly="1" grandRow="1" outline="0" axis="axisRow" fieldPosition="0">
        <references count="1">
          <reference field="4294967294" count="1" selected="0">
            <x v="12"/>
          </reference>
        </references>
      </pivotArea>
    </format>
    <format dxfId="357">
      <pivotArea field="0" dataOnly="0" labelOnly="1" grandRow="1" outline="0" axis="axisRow" fieldPosition="0">
        <references count="1">
          <reference field="4294967294" count="1" selected="0">
            <x v="13"/>
          </reference>
        </references>
      </pivotArea>
    </format>
    <format dxfId="356">
      <pivotArea field="0" dataOnly="0" labelOnly="1" grandRow="1" outline="0" axis="axisRow" fieldPosition="0">
        <references count="1">
          <reference field="4294967294" count="1" selected="0">
            <x v="14"/>
          </reference>
        </references>
      </pivotArea>
    </format>
    <format dxfId="355">
      <pivotArea field="0" dataOnly="0" labelOnly="1" grandRow="1" outline="0" axis="axisRow" fieldPosition="0">
        <references count="1">
          <reference field="4294967294" count="1" selected="0">
            <x v="15"/>
          </reference>
        </references>
      </pivotArea>
    </format>
    <format dxfId="354">
      <pivotArea field="0" dataOnly="0" labelOnly="1" grandRow="1" outline="0" axis="axisRow" fieldPosition="0">
        <references count="1">
          <reference field="4294967294" count="1" selected="0">
            <x v="16"/>
          </reference>
        </references>
      </pivotArea>
    </format>
    <format dxfId="353">
      <pivotArea field="0" dataOnly="0" labelOnly="1" grandRow="1" outline="0" axis="axisRow" fieldPosition="0">
        <references count="1">
          <reference field="4294967294" count="1" selected="0">
            <x v="17"/>
          </reference>
        </references>
      </pivotArea>
    </format>
    <format dxfId="352">
      <pivotArea field="0" dataOnly="0" labelOnly="1" grandRow="1" outline="0" axis="axisRow" fieldPosition="0">
        <references count="1">
          <reference field="4294967294" count="1" selected="0">
            <x v="18"/>
          </reference>
        </references>
      </pivotArea>
    </format>
    <format dxfId="351">
      <pivotArea field="0" dataOnly="0" labelOnly="1" grandRow="1" outline="0" axis="axisRow" fieldPosition="0">
        <references count="1">
          <reference field="4294967294" count="1" selected="0">
            <x v="19"/>
          </reference>
        </references>
      </pivotArea>
    </format>
    <format dxfId="350">
      <pivotArea field="0" dataOnly="0" labelOnly="1" grandRow="1" outline="0" axis="axisRow" fieldPosition="0">
        <references count="1">
          <reference field="4294967294" count="1" selected="0">
            <x v="20"/>
          </reference>
        </references>
      </pivotArea>
    </format>
    <format dxfId="349">
      <pivotArea field="0" dataOnly="0" labelOnly="1" grandRow="1" outline="0" axis="axisRow" fieldPosition="0">
        <references count="1">
          <reference field="4294967294" count="1" selected="0">
            <x v="21"/>
          </reference>
        </references>
      </pivotArea>
    </format>
    <format dxfId="348">
      <pivotArea field="0" dataOnly="0" labelOnly="1" grandRow="1" outline="0" axis="axisRow" fieldPosition="0">
        <references count="1">
          <reference field="4294967294" count="1" selected="0">
            <x v="22"/>
          </reference>
        </references>
      </pivotArea>
    </format>
    <format dxfId="347">
      <pivotArea field="0" dataOnly="0" labelOnly="1" grandRow="1" outline="0" axis="axisRow" fieldPosition="0">
        <references count="1">
          <reference field="4294967294" count="1" selected="0">
            <x v="23"/>
          </reference>
        </references>
      </pivotArea>
    </format>
    <format dxfId="346">
      <pivotArea field="0" dataOnly="0" labelOnly="1" grandRow="1" outline="0" axis="axisRow" fieldPosition="0">
        <references count="1">
          <reference field="4294967294" count="1" selected="0">
            <x v="24"/>
          </reference>
        </references>
      </pivotArea>
    </format>
    <format dxfId="345">
      <pivotArea field="0" dataOnly="0" labelOnly="1" grandRow="1" outline="0" axis="axisRow" fieldPosition="0">
        <references count="1">
          <reference field="4294967294" count="1" selected="0">
            <x v="25"/>
          </reference>
        </references>
      </pivotArea>
    </format>
    <format dxfId="344">
      <pivotArea field="0" dataOnly="0" labelOnly="1" grandRow="1" outline="0" axis="axisRow" fieldPosition="0">
        <references count="1">
          <reference field="4294967294" count="1" selected="0">
            <x v="26"/>
          </reference>
        </references>
      </pivotArea>
    </format>
    <format dxfId="343">
      <pivotArea field="0" dataOnly="0" labelOnly="1" grandRow="1" outline="0" axis="axisRow" fieldPosition="0">
        <references count="1">
          <reference field="4294967294" count="1" selected="0">
            <x v="27"/>
          </reference>
        </references>
      </pivotArea>
    </format>
    <format dxfId="342">
      <pivotArea field="0" dataOnly="0" labelOnly="1" grandRow="1" outline="0" axis="axisRow" fieldPosition="0">
        <references count="1">
          <reference field="4294967294" count="1" selected="0">
            <x v="28"/>
          </reference>
        </references>
      </pivotArea>
    </format>
    <format dxfId="341">
      <pivotArea field="0" dataOnly="0" labelOnly="1" grandRow="1" outline="0" axis="axisRow" fieldPosition="0">
        <references count="1">
          <reference field="4294967294" count="1" selected="0">
            <x v="29"/>
          </reference>
        </references>
      </pivotArea>
    </format>
    <format dxfId="340">
      <pivotArea field="0" dataOnly="0" labelOnly="1" grandRow="1" outline="0" axis="axisRow" fieldPosition="0">
        <references count="1">
          <reference field="4294967294" count="1" selected="0">
            <x v="30"/>
          </reference>
        </references>
      </pivotArea>
    </format>
    <format dxfId="339">
      <pivotArea field="0" dataOnly="0" labelOnly="1" grandRow="1" outline="0" axis="axisRow" fieldPosition="0">
        <references count="1">
          <reference field="4294967294" count="1" selected="0">
            <x v="31"/>
          </reference>
        </references>
      </pivotArea>
    </format>
    <format dxfId="338">
      <pivotArea field="0" dataOnly="0" labelOnly="1" grandRow="1" outline="0" axis="axisRow" fieldPosition="0">
        <references count="1">
          <reference field="4294967294" count="1" selected="0">
            <x v="32"/>
          </reference>
        </references>
      </pivotArea>
    </format>
    <format dxfId="337">
      <pivotArea field="0" dataOnly="0" labelOnly="1" grandRow="1" outline="0" axis="axisRow" fieldPosition="0">
        <references count="1">
          <reference field="4294967294" count="1" selected="0">
            <x v="33"/>
          </reference>
        </references>
      </pivotArea>
    </format>
    <format dxfId="336">
      <pivotArea field="0" dataOnly="0" labelOnly="1" grandRow="1" outline="0" axis="axisRow" fieldPosition="0">
        <references count="1">
          <reference field="4294967294" count="1" selected="0">
            <x v="34"/>
          </reference>
        </references>
      </pivotArea>
    </format>
    <format dxfId="335">
      <pivotArea field="0" dataOnly="0" labelOnly="1" grandRow="1" outline="0" axis="axisRow" fieldPosition="0">
        <references count="1">
          <reference field="4294967294" count="1" selected="0">
            <x v="35"/>
          </reference>
        </references>
      </pivotArea>
    </format>
    <format dxfId="33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33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33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33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33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32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32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32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32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32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32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32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32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32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32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31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318">
      <pivotArea dataOnly="0" labelOnly="1" outline="0" fieldPosition="0">
        <references count="1">
          <reference field="70" count="0"/>
        </references>
      </pivotArea>
    </format>
    <format dxfId="317">
      <pivotArea dataOnly="0" labelOnly="1" outline="0" fieldPosition="0">
        <references count="1">
          <reference field="70" count="0" defaultSubtotal="1"/>
        </references>
      </pivotArea>
    </format>
    <format dxfId="316">
      <pivotArea dataOnly="0" labelOnly="1" grandCol="1" outline="0" fieldPosition="0"/>
    </format>
    <format dxfId="315">
      <pivotArea dataOnly="0" labelOnly="1" outline="0" fieldPosition="0">
        <references count="2">
          <reference field="4" count="7">
            <x v="0"/>
            <x v="1"/>
            <x v="2"/>
            <x v="3"/>
            <x v="4"/>
            <x v="5"/>
            <x v="6"/>
          </reference>
          <reference field="70" count="1" selected="0">
            <x v="0"/>
          </reference>
        </references>
      </pivotArea>
    </format>
    <format dxfId="314">
      <pivotArea dataOnly="0" labelOnly="1" outline="0" fieldPosition="0">
        <references count="2">
          <reference field="4" count="4">
            <x v="7"/>
            <x v="8"/>
            <x v="9"/>
            <x v="10"/>
          </reference>
          <reference field="70" count="1" selected="0">
            <x v="1"/>
          </reference>
        </references>
      </pivotArea>
    </format>
    <format dxfId="313">
      <pivotArea dataOnly="0" labelOnly="1" outline="0" fieldPosition="0">
        <references count="2">
          <reference field="4" count="2">
            <x v="11"/>
            <x v="12"/>
          </reference>
          <reference field="70" count="1" selected="0">
            <x v="2"/>
          </reference>
        </references>
      </pivotArea>
    </format>
    <format dxfId="312">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311">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310">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309">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308">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307">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306">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305">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304">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303">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302">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301">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300">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299">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298">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297">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296">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295">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294">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293">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292">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291">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290">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289">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288">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287">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286">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285">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284">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283">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282">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281">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280">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279">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278">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277">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276">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275">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274">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273">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272">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271">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270">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269">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268">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267">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266">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265">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264">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263">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262">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261">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260">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259">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258">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257">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256">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255">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254">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253">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252">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251">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250">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249">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248">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247">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246">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245">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244">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243">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242">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241">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240">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239">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238">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237">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236">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235">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234">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233">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232">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231">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230">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229">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228">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227">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226">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225">
      <pivotArea outline="0" fieldPosition="0">
        <references count="4">
          <reference field="4294967294" count="1" selected="0">
            <x v="2"/>
          </reference>
          <reference field="0" count="1" selected="0">
            <x v="0"/>
          </reference>
          <reference field="4" count="1" selected="0">
            <x v="12"/>
          </reference>
          <reference field="70" count="1" selected="0">
            <x v="2"/>
          </reference>
        </references>
      </pivotArea>
    </format>
    <format dxfId="224">
      <pivotArea outline="0" fieldPosition="0">
        <references count="4">
          <reference field="4294967294" count="2" selected="0">
            <x v="7"/>
            <x v="8"/>
          </reference>
          <reference field="0" count="1" selected="0">
            <x v="0"/>
          </reference>
          <reference field="4" count="1" selected="0">
            <x v="12"/>
          </reference>
          <reference field="70" count="1" selected="0">
            <x v="2"/>
          </reference>
        </references>
      </pivotArea>
    </format>
    <format dxfId="223">
      <pivotArea outline="0" fieldPosition="0">
        <references count="4">
          <reference field="4294967294" count="1" selected="0">
            <x v="10"/>
          </reference>
          <reference field="0" count="1" selected="0">
            <x v="0"/>
          </reference>
          <reference field="4" count="1" selected="0">
            <x v="0"/>
          </reference>
          <reference field="70" count="1" selected="0">
            <x v="0"/>
          </reference>
        </references>
      </pivotArea>
    </format>
    <format dxfId="222">
      <pivotArea outline="0" fieldPosition="0">
        <references count="4">
          <reference field="4294967294" count="1" selected="0">
            <x v="13"/>
          </reference>
          <reference field="0" count="1" selected="0">
            <x v="0"/>
          </reference>
          <reference field="4" count="1" selected="0">
            <x v="10"/>
          </reference>
          <reference field="70" count="1" selected="0">
            <x v="1"/>
          </reference>
        </references>
      </pivotArea>
    </format>
    <format dxfId="221">
      <pivotArea outline="0" fieldPosition="0">
        <references count="4">
          <reference field="4294967294" count="2" selected="0">
            <x v="22"/>
            <x v="23"/>
          </reference>
          <reference field="0" count="1" selected="0">
            <x v="0"/>
          </reference>
          <reference field="4" count="1" selected="0">
            <x v="3"/>
          </reference>
          <reference field="70" count="1" selected="0">
            <x v="0"/>
          </reference>
        </references>
      </pivotArea>
    </format>
    <format dxfId="220">
      <pivotArea outline="0" fieldPosition="0">
        <references count="4">
          <reference field="4294967294" count="2" selected="0">
            <x v="22"/>
            <x v="23"/>
          </reference>
          <reference field="0" count="1" selected="0">
            <x v="0"/>
          </reference>
          <reference field="4" count="1" selected="0">
            <x v="4"/>
          </reference>
          <reference field="70" count="1" selected="0">
            <x v="0"/>
          </reference>
        </references>
      </pivotArea>
    </format>
    <format dxfId="219">
      <pivotArea outline="0" fieldPosition="0">
        <references count="4">
          <reference field="4294967294" count="1" selected="0">
            <x v="2"/>
          </reference>
          <reference field="0" count="1" selected="0">
            <x v="1"/>
          </reference>
          <reference field="4" count="1" selected="0">
            <x v="9"/>
          </reference>
          <reference field="70" count="1" selected="0">
            <x v="1"/>
          </reference>
        </references>
      </pivotArea>
    </format>
    <format dxfId="218">
      <pivotArea outline="0" fieldPosition="0">
        <references count="4">
          <reference field="4294967294" count="2" selected="0">
            <x v="10"/>
            <x v="11"/>
          </reference>
          <reference field="0" count="1" selected="0">
            <x v="1"/>
          </reference>
          <reference field="4" count="1" selected="0">
            <x v="4"/>
          </reference>
          <reference field="70" count="1" selected="0">
            <x v="0"/>
          </reference>
        </references>
      </pivotArea>
    </format>
    <format dxfId="217">
      <pivotArea outline="0" fieldPosition="0">
        <references count="4">
          <reference field="4294967294" count="2" selected="0">
            <x v="10"/>
            <x v="11"/>
          </reference>
          <reference field="0" count="1" selected="0">
            <x v="1"/>
          </reference>
          <reference field="4" count="1" selected="0">
            <x v="5"/>
          </reference>
          <reference field="70" count="1" selected="0">
            <x v="0"/>
          </reference>
        </references>
      </pivotArea>
    </format>
    <format dxfId="216">
      <pivotArea outline="0" fieldPosition="0">
        <references count="4">
          <reference field="4294967294" count="1" selected="0">
            <x v="23"/>
          </reference>
          <reference field="0" count="1" selected="0">
            <x v="1"/>
          </reference>
          <reference field="4" count="1" selected="0">
            <x v="3"/>
          </reference>
          <reference field="70" count="1" selected="0">
            <x v="0"/>
          </reference>
        </references>
      </pivotArea>
    </format>
    <format dxfId="215">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214">
      <pivotArea outline="0" fieldPosition="0">
        <references count="4">
          <reference field="4294967294" count="1" selected="0">
            <x v="28"/>
          </reference>
          <reference field="0" count="1" selected="0">
            <x v="1"/>
          </reference>
          <reference field="4" count="1" selected="0">
            <x v="3"/>
          </reference>
          <reference field="70" count="1" selected="0">
            <x v="0"/>
          </reference>
        </references>
      </pivotArea>
    </format>
    <format dxfId="213">
      <pivotArea outline="0" fieldPosition="0">
        <references count="4">
          <reference field="4294967294" count="2" selected="0">
            <x v="4"/>
            <x v="5"/>
          </reference>
          <reference field="0" count="1" selected="0">
            <x v="3"/>
          </reference>
          <reference field="4" count="1" selected="0">
            <x v="3"/>
          </reference>
          <reference field="70" count="1" selected="0">
            <x v="0"/>
          </reference>
        </references>
      </pivotArea>
    </format>
    <format dxfId="212">
      <pivotArea outline="0" fieldPosition="0">
        <references count="4">
          <reference field="4294967294" count="1" selected="0">
            <x v="8"/>
          </reference>
          <reference field="0" count="1" selected="0">
            <x v="3"/>
          </reference>
          <reference field="4" count="1" selected="0">
            <x v="3"/>
          </reference>
          <reference field="70" count="1" selected="0">
            <x v="0"/>
          </reference>
        </references>
      </pivotArea>
    </format>
    <format dxfId="211">
      <pivotArea outline="0" fieldPosition="0">
        <references count="4">
          <reference field="4294967294" count="2" selected="0">
            <x v="10"/>
            <x v="11"/>
          </reference>
          <reference field="0" count="1" selected="0">
            <x v="3"/>
          </reference>
          <reference field="4" count="1" selected="0">
            <x v="2"/>
          </reference>
          <reference field="70" count="1" selected="0">
            <x v="0"/>
          </reference>
        </references>
      </pivotArea>
    </format>
    <format dxfId="210">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209">
      <pivotArea outline="0" fieldPosition="0">
        <references count="4">
          <reference field="4294967294" count="1" selected="0">
            <x v="26"/>
          </reference>
          <reference field="0" count="1" selected="0">
            <x v="3"/>
          </reference>
          <reference field="4" count="1" selected="0">
            <x v="2"/>
          </reference>
          <reference field="70" count="1" selected="0">
            <x v="0"/>
          </reference>
        </references>
      </pivotArea>
    </format>
    <format dxfId="208">
      <pivotArea outline="0" fieldPosition="0">
        <references count="4">
          <reference field="4294967294" count="1" selected="0">
            <x v="26"/>
          </reference>
          <reference field="0" count="1" selected="0">
            <x v="3"/>
          </reference>
          <reference field="4" count="1" selected="0">
            <x v="3"/>
          </reference>
          <reference field="70" count="1" selected="0">
            <x v="0"/>
          </reference>
        </references>
      </pivotArea>
    </format>
    <format dxfId="207">
      <pivotArea outline="0" fieldPosition="0">
        <references count="4">
          <reference field="4294967294" count="2" selected="0">
            <x v="28"/>
            <x v="29"/>
          </reference>
          <reference field="0" count="1" selected="0">
            <x v="3"/>
          </reference>
          <reference field="4" count="1" selected="0">
            <x v="2"/>
          </reference>
          <reference field="70" count="1" selected="0">
            <x v="0"/>
          </reference>
        </references>
      </pivotArea>
    </format>
    <format dxfId="206">
      <pivotArea outline="0" fieldPosition="0">
        <references count="4">
          <reference field="4294967294" count="1" selected="0">
            <x v="10"/>
          </reference>
          <reference field="0" count="1" selected="0">
            <x v="4"/>
          </reference>
          <reference field="4" count="1" selected="0">
            <x v="5"/>
          </reference>
          <reference field="70" count="1" selected="0">
            <x v="0"/>
          </reference>
        </references>
      </pivotArea>
    </format>
    <format dxfId="205">
      <pivotArea outline="0" fieldPosition="0">
        <references count="4">
          <reference field="4294967294" count="1" selected="0">
            <x v="8"/>
          </reference>
          <reference field="0" count="1" selected="0">
            <x v="4"/>
          </reference>
          <reference field="4" count="2" selected="0">
            <x v="7"/>
            <x v="8"/>
          </reference>
          <reference field="70" count="1" selected="0">
            <x v="1"/>
          </reference>
        </references>
      </pivotArea>
    </format>
    <format dxfId="204">
      <pivotArea outline="0" fieldPosition="0">
        <references count="4">
          <reference field="4294967294" count="2" selected="0">
            <x v="13"/>
            <x v="14"/>
          </reference>
          <reference field="0" count="1" selected="0">
            <x v="4"/>
          </reference>
          <reference field="4" count="1" selected="0">
            <x v="8"/>
          </reference>
          <reference field="70" count="1" selected="0">
            <x v="1"/>
          </reference>
        </references>
      </pivotArea>
    </format>
    <format dxfId="203">
      <pivotArea outline="0" fieldPosition="0">
        <references count="4">
          <reference field="4294967294" count="2" selected="0">
            <x v="10"/>
            <x v="11"/>
          </reference>
          <reference field="0" count="1" selected="0">
            <x v="4"/>
          </reference>
          <reference field="4" count="1" selected="0">
            <x v="9"/>
          </reference>
          <reference field="70" count="1" selected="0">
            <x v="1"/>
          </reference>
        </references>
      </pivotArea>
    </format>
    <format dxfId="202">
      <pivotArea outline="0" fieldPosition="0">
        <references count="4">
          <reference field="4294967294" count="1" selected="0">
            <x v="20"/>
          </reference>
          <reference field="0" count="1" selected="0">
            <x v="4"/>
          </reference>
          <reference field="4" count="1" selected="0">
            <x v="1"/>
          </reference>
          <reference field="70" count="1" selected="0">
            <x v="0"/>
          </reference>
        </references>
      </pivotArea>
    </format>
    <format dxfId="201">
      <pivotArea outline="0" fieldPosition="0">
        <references count="4">
          <reference field="4294967294" count="1" selected="0">
            <x v="26"/>
          </reference>
          <reference field="0" count="1" selected="0">
            <x v="4"/>
          </reference>
          <reference field="4" count="1" selected="0">
            <x v="1"/>
          </reference>
          <reference field="70" count="1" selected="0">
            <x v="0"/>
          </reference>
        </references>
      </pivotArea>
    </format>
    <format dxfId="200">
      <pivotArea outline="0" fieldPosition="0">
        <references count="4">
          <reference field="4294967294" count="1" selected="0">
            <x v="23"/>
          </reference>
          <reference field="0" count="1" selected="0">
            <x v="4"/>
          </reference>
          <reference field="4" count="1" selected="0">
            <x v="4"/>
          </reference>
          <reference field="70" count="1" selected="0">
            <x v="0"/>
          </reference>
        </references>
      </pivotArea>
    </format>
    <format dxfId="199">
      <pivotArea outline="0" fieldPosition="0">
        <references count="4">
          <reference field="4294967294" count="1" selected="0">
            <x v="26"/>
          </reference>
          <reference field="0" count="1" selected="0">
            <x v="4"/>
          </reference>
          <reference field="4" count="1" selected="0">
            <x v="4"/>
          </reference>
          <reference field="70" count="1" selected="0">
            <x v="0"/>
          </reference>
        </references>
      </pivotArea>
    </format>
    <format dxfId="198">
      <pivotArea outline="0" fieldPosition="0">
        <references count="4">
          <reference field="4294967294" count="1" selected="0">
            <x v="2"/>
          </reference>
          <reference field="0" count="1" selected="0">
            <x v="5"/>
          </reference>
          <reference field="4" count="3" selected="0">
            <x v="8"/>
            <x v="9"/>
            <x v="10"/>
          </reference>
          <reference field="70" count="1" selected="0">
            <x v="1"/>
          </reference>
        </references>
      </pivotArea>
    </format>
    <format dxfId="197">
      <pivotArea outline="0" fieldPosition="0">
        <references count="4">
          <reference field="4294967294" count="1" selected="0">
            <x v="5"/>
          </reference>
          <reference field="0" count="1" selected="0">
            <x v="5"/>
          </reference>
          <reference field="4" count="3" selected="0">
            <x v="8"/>
            <x v="9"/>
            <x v="10"/>
          </reference>
          <reference field="70" count="1" selected="0">
            <x v="1"/>
          </reference>
        </references>
      </pivotArea>
    </format>
    <format dxfId="196">
      <pivotArea outline="0" fieldPosition="0">
        <references count="4">
          <reference field="4294967294" count="1" selected="0">
            <x v="8"/>
          </reference>
          <reference field="0" count="1" selected="0">
            <x v="5"/>
          </reference>
          <reference field="4" count="3" selected="0">
            <x v="8"/>
            <x v="9"/>
            <x v="10"/>
          </reference>
          <reference field="70" count="1" selected="0">
            <x v="1"/>
          </reference>
        </references>
      </pivotArea>
    </format>
    <format dxfId="195">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194">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93">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192">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191">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90">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89">
      <pivotArea outline="0" fieldPosition="0">
        <references count="4">
          <reference field="4294967294" count="1" selected="0">
            <x v="26"/>
          </reference>
          <reference field="0" count="1" selected="0">
            <x v="7"/>
          </reference>
          <reference field="4" count="1" selected="0">
            <x v="2"/>
          </reference>
          <reference field="70" count="1" selected="0">
            <x v="0"/>
          </reference>
        </references>
      </pivotArea>
    </format>
    <format dxfId="188">
      <pivotArea outline="0" fieldPosition="0">
        <references count="4">
          <reference field="4294967294" count="1" selected="0">
            <x v="20"/>
          </reference>
          <reference field="0" count="1" selected="0">
            <x v="8"/>
          </reference>
          <reference field="4" count="2" selected="0">
            <x v="3"/>
            <x v="4"/>
          </reference>
          <reference field="70" count="1" selected="0">
            <x v="0"/>
          </reference>
        </references>
      </pivotArea>
    </format>
    <format dxfId="187">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86">
      <pivotArea outline="0" fieldPosition="0">
        <references count="4">
          <reference field="4294967294" count="1" selected="0">
            <x v="34"/>
          </reference>
          <reference field="0" count="1" selected="0">
            <x v="8"/>
          </reference>
          <reference field="4" count="1" selected="0">
            <x v="0"/>
          </reference>
          <reference field="70" count="1" selected="0">
            <x v="0"/>
          </reference>
        </references>
      </pivotArea>
    </format>
    <format dxfId="185">
      <pivotArea outline="0" fieldPosition="0">
        <references count="4">
          <reference field="4294967294" count="1" selected="0">
            <x v="2"/>
          </reference>
          <reference field="0" count="1" selected="0">
            <x v="9"/>
          </reference>
          <reference field="4" count="1" selected="0">
            <x v="3"/>
          </reference>
          <reference field="70" count="1" selected="0">
            <x v="0"/>
          </reference>
        </references>
      </pivotArea>
    </format>
    <format dxfId="184">
      <pivotArea outline="0" fieldPosition="0">
        <references count="4">
          <reference field="4294967294" count="1" selected="0">
            <x v="8"/>
          </reference>
          <reference field="0" count="1" selected="0">
            <x v="9"/>
          </reference>
          <reference field="4" count="1" selected="0">
            <x v="3"/>
          </reference>
          <reference field="70" count="1" selected="0">
            <x v="0"/>
          </reference>
        </references>
      </pivotArea>
    </format>
    <format dxfId="183">
      <pivotArea outline="0" fieldPosition="0">
        <references count="4">
          <reference field="4294967294" count="1" selected="0">
            <x v="2"/>
          </reference>
          <reference field="0" count="1" selected="0">
            <x v="9"/>
          </reference>
          <reference field="4" count="1" selected="0">
            <x v="8"/>
          </reference>
          <reference field="70" count="1" selected="0">
            <x v="1"/>
          </reference>
        </references>
      </pivotArea>
    </format>
    <format dxfId="182">
      <pivotArea outline="0" fieldPosition="0">
        <references count="4">
          <reference field="4294967294" count="1" selected="0">
            <x v="8"/>
          </reference>
          <reference field="0" count="1" selected="0">
            <x v="9"/>
          </reference>
          <reference field="4" count="1" selected="0">
            <x v="8"/>
          </reference>
          <reference field="70" count="1" selected="0">
            <x v="1"/>
          </reference>
        </references>
      </pivotArea>
    </format>
    <format dxfId="181">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80">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79">
      <pivotArea outline="0" fieldPosition="0">
        <references count="4">
          <reference field="4294967294" count="1" selected="0">
            <x v="2"/>
          </reference>
          <reference field="0" count="1" selected="0">
            <x v="10"/>
          </reference>
          <reference field="4" count="1" selected="0">
            <x v="2"/>
          </reference>
          <reference field="70" count="1" selected="0">
            <x v="0"/>
          </reference>
        </references>
      </pivotArea>
    </format>
    <format dxfId="178">
      <pivotArea outline="0" fieldPosition="0">
        <references count="4">
          <reference field="4294967294" count="1" selected="0">
            <x v="5"/>
          </reference>
          <reference field="0" count="1" selected="0">
            <x v="10"/>
          </reference>
          <reference field="4" count="1" selected="0">
            <x v="2"/>
          </reference>
          <reference field="70" count="1" selected="0">
            <x v="0"/>
          </reference>
        </references>
      </pivotArea>
    </format>
    <format dxfId="177">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76">
      <pivotArea outline="0" fieldPosition="0">
        <references count="4">
          <reference field="4294967294" count="1" selected="0">
            <x v="20"/>
          </reference>
          <reference field="0" count="1" selected="0">
            <x v="10"/>
          </reference>
          <reference field="4" count="1" selected="0">
            <x v="2"/>
          </reference>
          <reference field="70" count="1" selected="0">
            <x v="0"/>
          </reference>
        </references>
      </pivotArea>
    </format>
    <format dxfId="175">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174">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73">
      <pivotArea outline="0" fieldPosition="0">
        <references count="4">
          <reference field="4294967294" count="1" selected="0">
            <x v="23"/>
          </reference>
          <reference field="0" count="1" selected="0">
            <x v="10"/>
          </reference>
          <reference field="4" count="1" selected="0">
            <x v="2"/>
          </reference>
          <reference field="70" count="1" selected="0">
            <x v="0"/>
          </reference>
        </references>
      </pivotArea>
    </format>
    <format dxfId="172">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71">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170">
      <pivotArea outline="0" fieldPosition="0">
        <references count="4">
          <reference field="4294967294" count="2" selected="0">
            <x v="10"/>
            <x v="11"/>
          </reference>
          <reference field="0" count="1" selected="0">
            <x v="11"/>
          </reference>
          <reference field="4" count="1" selected="0">
            <x v="0"/>
          </reference>
          <reference field="70" count="1" selected="0">
            <x v="0"/>
          </reference>
        </references>
      </pivotArea>
    </format>
    <format dxfId="169">
      <pivotArea outline="0" fieldPosition="0">
        <references count="4">
          <reference field="4294967294" count="2" selected="0">
            <x v="10"/>
            <x v="11"/>
          </reference>
          <reference field="0" count="1" selected="0">
            <x v="11"/>
          </reference>
          <reference field="4" count="1" selected="0">
            <x v="5"/>
          </reference>
          <reference field="70" count="1" selected="0">
            <x v="0"/>
          </reference>
        </references>
      </pivotArea>
    </format>
    <format dxfId="168">
      <pivotArea outline="0" fieldPosition="0">
        <references count="4">
          <reference field="4294967294" count="2" selected="0">
            <x v="13"/>
            <x v="14"/>
          </reference>
          <reference field="0" count="1" selected="0">
            <x v="11"/>
          </reference>
          <reference field="4" count="1" selected="0">
            <x v="0"/>
          </reference>
          <reference field="70" count="1" selected="0">
            <x v="0"/>
          </reference>
        </references>
      </pivotArea>
    </format>
    <format dxfId="167">
      <pivotArea outline="0" fieldPosition="0">
        <references count="4">
          <reference field="4294967294" count="1" selected="0">
            <x v="2"/>
          </reference>
          <reference field="0" count="1" selected="0">
            <x v="11"/>
          </reference>
          <reference field="4" count="1" selected="0">
            <x v="10"/>
          </reference>
          <reference field="70" count="1" selected="0">
            <x v="1"/>
          </reference>
        </references>
      </pivotArea>
    </format>
    <format dxfId="166">
      <pivotArea outline="0" fieldPosition="0">
        <references count="4">
          <reference field="4294967294" count="1" selected="0">
            <x v="8"/>
          </reference>
          <reference field="0" count="1" selected="0">
            <x v="11"/>
          </reference>
          <reference field="4" count="1" selected="0">
            <x v="10"/>
          </reference>
          <reference field="70" count="1" selected="0">
            <x v="1"/>
          </reference>
        </references>
      </pivotArea>
    </format>
    <format dxfId="165">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64">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63">
      <pivotArea outline="0" fieldPosition="0">
        <references count="4">
          <reference field="4294967294" count="2" selected="0">
            <x v="28"/>
            <x v="29"/>
          </reference>
          <reference field="0" count="1" selected="0">
            <x v="11"/>
          </reference>
          <reference field="4" count="1" selected="0">
            <x v="5"/>
          </reference>
          <reference field="70" count="1" selected="0">
            <x v="0"/>
          </reference>
        </references>
      </pivotArea>
    </format>
    <format dxfId="162">
      <pivotArea outline="0" fieldPosition="0">
        <references count="4">
          <reference field="4294967294" count="1" selected="0">
            <x v="31"/>
          </reference>
          <reference field="0" count="1" selected="0">
            <x v="11"/>
          </reference>
          <reference field="4" count="1" selected="0">
            <x v="5"/>
          </reference>
          <reference field="70" count="1" selected="0">
            <x v="0"/>
          </reference>
        </references>
      </pivotArea>
    </format>
    <format dxfId="161">
      <pivotArea outline="0" fieldPosition="0">
        <references count="4">
          <reference field="4294967294" count="2" selected="0">
            <x v="10"/>
            <x v="11"/>
          </reference>
          <reference field="0" count="1" selected="0">
            <x v="12"/>
          </reference>
          <reference field="4" count="1" selected="0">
            <x v="9"/>
          </reference>
          <reference field="70" count="1" selected="0">
            <x v="1"/>
          </reference>
        </references>
      </pivotArea>
    </format>
    <format dxfId="160">
      <pivotArea outline="0" fieldPosition="0">
        <references count="4">
          <reference field="4294967294" count="1" selected="0">
            <x v="22"/>
          </reference>
          <reference field="0" count="1" selected="0">
            <x v="12"/>
          </reference>
          <reference field="4" count="1" selected="0">
            <x v="4"/>
          </reference>
          <reference field="70" count="1" selected="0">
            <x v="0"/>
          </reference>
        </references>
      </pivotArea>
    </format>
    <format dxfId="159">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58">
      <pivotArea outline="0" fieldPosition="0">
        <references count="4">
          <reference field="4294967294" count="1" selected="0">
            <x v="20"/>
          </reference>
          <reference field="0" count="1" selected="0">
            <x v="13"/>
          </reference>
          <reference field="4" count="3" selected="0">
            <x v="3"/>
            <x v="4"/>
            <x v="5"/>
          </reference>
          <reference field="70" count="1" selected="0">
            <x v="0"/>
          </reference>
        </references>
      </pivotArea>
    </format>
    <format dxfId="157">
      <pivotArea outline="0" fieldPosition="0">
        <references count="4">
          <reference field="4294967294" count="1" selected="0">
            <x v="23"/>
          </reference>
          <reference field="0" count="1" selected="0">
            <x v="13"/>
          </reference>
          <reference field="4" count="2" selected="0">
            <x v="2"/>
            <x v="3"/>
          </reference>
          <reference field="70" count="1" selected="0">
            <x v="0"/>
          </reference>
        </references>
      </pivotArea>
    </format>
    <format dxfId="156">
      <pivotArea outline="0" fieldPosition="0">
        <references count="4">
          <reference field="4294967294" count="1" selected="0">
            <x v="26"/>
          </reference>
          <reference field="0" count="1" selected="0">
            <x v="13"/>
          </reference>
          <reference field="4" count="2" selected="0">
            <x v="4"/>
            <x v="5"/>
          </reference>
          <reference field="70" count="1" selected="0">
            <x v="0"/>
          </reference>
        </references>
      </pivotArea>
    </format>
    <format dxfId="155">
      <pivotArea outline="0" fieldPosition="0">
        <references count="4">
          <reference field="4294967294" count="1" selected="0">
            <x v="26"/>
          </reference>
          <reference field="0" count="1" selected="0">
            <x v="13"/>
          </reference>
          <reference field="4" count="1" selected="0">
            <x v="2"/>
          </reference>
          <reference field="70" count="1" selected="0">
            <x v="0"/>
          </reference>
        </references>
      </pivotArea>
    </format>
    <format dxfId="154">
      <pivotArea outline="0" fieldPosition="0">
        <references count="4">
          <reference field="4294967294" count="2" selected="0">
            <x v="28"/>
            <x v="29"/>
          </reference>
          <reference field="0" count="1" selected="0">
            <x v="13"/>
          </reference>
          <reference field="4" count="1" selected="0">
            <x v="5"/>
          </reference>
          <reference field="70" count="1" selected="0">
            <x v="0"/>
          </reference>
        </references>
      </pivotArea>
    </format>
    <format dxfId="153">
      <pivotArea outline="0" fieldPosition="0">
        <references count="4">
          <reference field="4294967294" count="1" selected="0">
            <x v="25"/>
          </reference>
          <reference field="0" count="1" selected="0">
            <x v="14"/>
          </reference>
          <reference field="4" count="1" selected="0">
            <x v="1"/>
          </reference>
          <reference field="70" count="1" selected="0">
            <x v="0"/>
          </reference>
        </references>
      </pivotArea>
    </format>
    <format dxfId="152">
      <pivotArea outline="0" fieldPosition="0">
        <references count="4">
          <reference field="4294967294" count="1" selected="0">
            <x v="31"/>
          </reference>
          <reference field="0" count="1" selected="0">
            <x v="14"/>
          </reference>
          <reference field="4" count="1" selected="0">
            <x v="0"/>
          </reference>
          <reference field="70" count="1" selected="0">
            <x v="0"/>
          </reference>
        </references>
      </pivotArea>
    </format>
    <format dxfId="151">
      <pivotArea outline="0" fieldPosition="0">
        <references count="4">
          <reference field="4294967294" count="1" selected="0">
            <x v="2"/>
          </reference>
          <reference field="0" count="1" selected="0">
            <x v="15"/>
          </reference>
          <reference field="4" count="1" selected="0">
            <x v="5"/>
          </reference>
          <reference field="70" count="1" selected="0">
            <x v="0"/>
          </reference>
        </references>
      </pivotArea>
    </format>
    <format dxfId="150">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49">
      <pivotArea outline="0" fieldPosition="0">
        <references count="4">
          <reference field="4294967294" count="1" selected="0">
            <x v="26"/>
          </reference>
          <reference field="0" count="1" selected="0">
            <x v="15"/>
          </reference>
          <reference field="4" count="1" selected="0">
            <x v="2"/>
          </reference>
          <reference field="70" count="1" selected="0">
            <x v="0"/>
          </reference>
        </references>
      </pivotArea>
    </format>
    <format dxfId="148">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47">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33534D-7917-4B6B-86CA-A55047873B84}" name="PivotTable2" cacheId="127" dataOnRows="1" applyNumberFormats="0" applyBorderFormats="0" applyFontFormats="0" applyPatternFormats="0" applyAlignmentFormats="0" applyWidthHeightFormats="1" dataCaption="Data" updatedVersion="6" asteriskTotals="1" showMemberPropertyTips="0" useAutoFormatting="1" rowGrandTotals="0" colGrandTotals="0" itemPrintTitles="1" createdVersion="1" indent="0" compact="0" compactData="0" gridDropZones="1">
  <location ref="A3:V133"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7">
        <item x="0"/>
        <item x="1"/>
        <item x="2"/>
        <item x="3"/>
        <item x="4"/>
        <item x="5"/>
        <item x="11"/>
        <item m="1" x="16"/>
        <item x="14"/>
        <item m="1" x="15"/>
        <item x="13"/>
        <item x="6"/>
        <item x="7"/>
        <item x="8"/>
        <item x="9"/>
        <item x="10"/>
        <item x="12"/>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8">
        <item n="Four-Year" x="3"/>
        <item x="2"/>
        <item x="1"/>
        <item n="Two-Year" x="4"/>
        <item n="Techncial" x="5"/>
        <item x="0"/>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70"/>
    <field x="4"/>
  </colFields>
  <colItems count="20">
    <i>
      <x/>
      <x/>
    </i>
    <i r="1">
      <x v="1"/>
    </i>
    <i r="1">
      <x v="2"/>
    </i>
    <i r="1">
      <x v="3"/>
    </i>
    <i r="1">
      <x v="4"/>
    </i>
    <i r="1">
      <x v="5"/>
    </i>
    <i r="1">
      <x v="6"/>
    </i>
    <i t="default">
      <x/>
    </i>
    <i>
      <x v="2"/>
      <x v="8"/>
    </i>
    <i t="default">
      <x v="2"/>
    </i>
    <i>
      <x v="3"/>
      <x v="10"/>
    </i>
    <i r="1">
      <x v="11"/>
    </i>
    <i r="1">
      <x v="12"/>
    </i>
    <i r="1">
      <x v="13"/>
    </i>
    <i t="default">
      <x v="3"/>
    </i>
    <i>
      <x v="4"/>
      <x v="14"/>
    </i>
    <i r="1">
      <x v="15"/>
    </i>
    <i t="default">
      <x v="4"/>
    </i>
    <i>
      <x v="6"/>
      <x v="16"/>
    </i>
    <i t="default">
      <x v="6"/>
    </i>
  </colItems>
  <dataFields count="8">
    <dataField name="Sum of OLD-Tot UG SCH Calc" fld="5" baseField="0" baseItem="0"/>
    <dataField name="Sum of NEW-Tot UG SCH Calc" fld="6" baseField="0" baseItem="0"/>
    <dataField name="Sum of Old UG E-Learning" fld="63" baseField="0" baseItem="0"/>
    <dataField name="Sum of New UG E-Learning" fld="65" baseField="0" baseItem="0"/>
    <dataField name="Sum of Old-Tot G SCH Calc" fld="19" baseField="0" baseItem="0"/>
    <dataField name="Sum of New-Tot G SCH Calc" fld="20" baseField="0" baseItem="0"/>
    <dataField name="Sum of Old G E-Learning" fld="64" baseField="0" baseItem="0"/>
    <dataField name="Sum of New G E-Learning" fld="66" baseField="0" baseItem="0"/>
  </dataFields>
  <formats count="147">
    <format dxfId="146">
      <pivotArea field="4" type="button" dataOnly="0" labelOnly="1" outline="0" axis="axisCol" fieldPosition="1"/>
    </format>
    <format dxfId="145">
      <pivotArea type="topRight" dataOnly="0" labelOnly="1" outline="0" fieldPosition="0"/>
    </format>
    <format dxfId="144">
      <pivotArea dataOnly="0" labelOnly="1" grandCol="1" outline="0" fieldPosition="0"/>
    </format>
    <format dxfId="143">
      <pivotArea dataOnly="0" labelOnly="1" outline="0" offset="IV256" fieldPosition="0">
        <references count="1">
          <reference field="0" count="1">
            <x v="3"/>
          </reference>
        </references>
      </pivotArea>
    </format>
    <format dxfId="142">
      <pivotArea dataOnly="0" labelOnly="1" outline="0" offset="IV256" fieldPosition="0">
        <references count="1">
          <reference field="0" count="1">
            <x v="4"/>
          </reference>
        </references>
      </pivotArea>
    </format>
    <format dxfId="141">
      <pivotArea dataOnly="0" labelOnly="1" outline="0" offset="IV256" fieldPosition="0">
        <references count="1">
          <reference field="0" count="1">
            <x v="5"/>
          </reference>
        </references>
      </pivotArea>
    </format>
    <format dxfId="140">
      <pivotArea dataOnly="0" labelOnly="1" outline="0" offset="IV256" fieldPosition="0">
        <references count="1">
          <reference field="0" count="1">
            <x v="7"/>
          </reference>
        </references>
      </pivotArea>
    </format>
    <format dxfId="139">
      <pivotArea dataOnly="0" labelOnly="1" outline="0" offset="IV256" fieldPosition="0">
        <references count="1">
          <reference field="0" count="1">
            <x v="8"/>
          </reference>
        </references>
      </pivotArea>
    </format>
    <format dxfId="138">
      <pivotArea dataOnly="0" labelOnly="1" outline="0" offset="IV256" fieldPosition="0">
        <references count="1">
          <reference field="0" count="1">
            <x v="9"/>
          </reference>
        </references>
      </pivotArea>
    </format>
    <format dxfId="137">
      <pivotArea dataOnly="0" labelOnly="1" outline="0" offset="IV256" fieldPosition="0">
        <references count="1">
          <reference field="0" count="1">
            <x v="10"/>
          </reference>
        </references>
      </pivotArea>
    </format>
    <format dxfId="136">
      <pivotArea dataOnly="0" labelOnly="1" outline="0" offset="IV256" fieldPosition="0">
        <references count="1">
          <reference field="0" count="1">
            <x v="11"/>
          </reference>
        </references>
      </pivotArea>
    </format>
    <format dxfId="135">
      <pivotArea dataOnly="0" labelOnly="1" outline="0" offset="IV256" fieldPosition="0">
        <references count="1">
          <reference field="0" count="1">
            <x v="12"/>
          </reference>
        </references>
      </pivotArea>
    </format>
    <format dxfId="134">
      <pivotArea dataOnly="0" labelOnly="1" outline="0" offset="IV256" fieldPosition="0">
        <references count="1">
          <reference field="0" count="1">
            <x v="13"/>
          </reference>
        </references>
      </pivotArea>
    </format>
    <format dxfId="133">
      <pivotArea type="origin" dataOnly="0" labelOnly="1" outline="0" offset="A2:B2" fieldPosition="0"/>
    </format>
    <format dxfId="132">
      <pivotArea dataOnly="0" labelOnly="1" outline="0" fieldPosition="0">
        <references count="1">
          <reference field="0" count="0"/>
        </references>
      </pivotArea>
    </format>
    <format dxfId="131">
      <pivotArea dataOnly="0" labelOnly="1" outline="0" offset="IV1" fieldPosition="0">
        <references count="1">
          <reference field="0" count="1">
            <x v="0"/>
          </reference>
        </references>
      </pivotArea>
    </format>
    <format dxfId="130">
      <pivotArea type="origin" dataOnly="0" labelOnly="1" outline="0" fieldPosition="0"/>
    </format>
    <format dxfId="129">
      <pivotArea field="0" type="button" dataOnly="0" labelOnly="1" outline="0" axis="axisRow" fieldPosition="0"/>
    </format>
    <format dxfId="128">
      <pivotArea dataOnly="0" labelOnly="1" outline="0" offset="IV5:IV6" fieldPosition="0">
        <references count="1">
          <reference field="0" count="1">
            <x v="1"/>
          </reference>
        </references>
      </pivotArea>
    </format>
    <format dxfId="127">
      <pivotArea dataOnly="0" labelOnly="1" outline="0" offset="IV7:IV8" fieldPosition="0">
        <references count="1">
          <reference field="0" count="1">
            <x v="1"/>
          </reference>
        </references>
      </pivotArea>
    </format>
    <format dxfId="126">
      <pivotArea dataOnly="0" labelOnly="1" outline="0" offset="IV9:IV10" fieldPosition="0">
        <references count="1">
          <reference field="0" count="1">
            <x v="1"/>
          </reference>
        </references>
      </pivotArea>
    </format>
    <format dxfId="125">
      <pivotArea dataOnly="0" labelOnly="1" outline="0" offset="IV11:IV12" fieldPosition="0">
        <references count="1">
          <reference field="0" count="1">
            <x v="1"/>
          </reference>
        </references>
      </pivotArea>
    </format>
    <format dxfId="124">
      <pivotArea dataOnly="0" labelOnly="1" outline="0" offset="IV256" fieldPosition="0">
        <references count="1">
          <reference field="0" count="1">
            <x v="0"/>
          </reference>
        </references>
      </pivotArea>
    </format>
    <format dxfId="123">
      <pivotArea dataOnly="0" labelOnly="1" grandCol="1" outline="0" offset="IV256" fieldPosition="0"/>
    </format>
    <format dxfId="122">
      <pivotArea dataOnly="0" labelOnly="1" outline="0" offset="IV256" fieldPosition="0">
        <references count="1">
          <reference field="0" count="1">
            <x v="1"/>
          </reference>
        </references>
      </pivotArea>
    </format>
    <format dxfId="121">
      <pivotArea dataOnly="0" labelOnly="1" outline="0" offset="IV1" fieldPosition="0">
        <references count="1">
          <reference field="0" count="1">
            <x v="0"/>
          </reference>
        </references>
      </pivotArea>
    </format>
    <format dxfId="120">
      <pivotArea dataOnly="0" labelOnly="1" outline="0" offset="IV1" fieldPosition="0">
        <references count="1">
          <reference field="0" count="1">
            <x v="1"/>
          </reference>
        </references>
      </pivotArea>
    </format>
    <format dxfId="119">
      <pivotArea dataOnly="0" labelOnly="1" outline="0" offset="IV1" fieldPosition="0">
        <references count="1">
          <reference field="0" count="1">
            <x v="3"/>
          </reference>
        </references>
      </pivotArea>
    </format>
    <format dxfId="118">
      <pivotArea dataOnly="0" labelOnly="1" outline="0" offset="IV1" fieldPosition="0">
        <references count="1">
          <reference field="0" count="1">
            <x v="4"/>
          </reference>
        </references>
      </pivotArea>
    </format>
    <format dxfId="117">
      <pivotArea dataOnly="0" labelOnly="1" outline="0" offset="IV256" fieldPosition="0">
        <references count="1">
          <reference field="0" count="1">
            <x v="15"/>
          </reference>
        </references>
      </pivotArea>
    </format>
    <format dxfId="116">
      <pivotArea outline="0" fieldPosition="0">
        <references count="1">
          <reference field="0" count="1" selected="0">
            <x v="0"/>
          </reference>
        </references>
      </pivotArea>
    </format>
    <format dxfId="115">
      <pivotArea dataOnly="0" labelOnly="1" outline="0" fieldPosition="0">
        <references count="1">
          <reference field="0" count="1">
            <x v="0"/>
          </reference>
        </references>
      </pivotArea>
    </format>
    <format dxfId="114">
      <pivotArea dataOnly="0" labelOnly="1" outline="0" fieldPosition="0">
        <references count="2">
          <reference field="4294967294" count="0"/>
          <reference field="0" count="1" selected="0">
            <x v="0"/>
          </reference>
        </references>
      </pivotArea>
    </format>
    <format dxfId="113">
      <pivotArea type="all" dataOnly="0" outline="0" fieldPosition="0"/>
    </format>
    <format dxfId="112">
      <pivotArea outline="0" fieldPosition="0"/>
    </format>
    <format dxfId="111">
      <pivotArea outline="0" fieldPosition="0">
        <references count="2">
          <reference field="4294967294" count="1" selected="0">
            <x v="0"/>
          </reference>
          <reference field="0" count="1" selected="0">
            <x v="4"/>
          </reference>
        </references>
      </pivotArea>
    </format>
    <format dxfId="110">
      <pivotArea outline="0" fieldPosition="0">
        <references count="2">
          <reference field="4294967294" count="1" selected="0">
            <x v="0"/>
          </reference>
          <reference field="0" count="1" selected="0">
            <x v="5"/>
          </reference>
        </references>
      </pivotArea>
    </format>
    <format dxfId="109">
      <pivotArea outline="0" fieldPosition="0">
        <references count="2">
          <reference field="4294967294" count="1" selected="0">
            <x v="0"/>
          </reference>
          <reference field="0" count="1" selected="0">
            <x v="7"/>
          </reference>
        </references>
      </pivotArea>
    </format>
    <format dxfId="108">
      <pivotArea outline="0" fieldPosition="0">
        <references count="2">
          <reference field="4294967294" count="1" selected="0">
            <x v="1"/>
          </reference>
          <reference field="0" count="1" selected="0">
            <x v="4"/>
          </reference>
        </references>
      </pivotArea>
    </format>
    <format dxfId="107">
      <pivotArea outline="0" fieldPosition="0">
        <references count="2">
          <reference field="4294967294" count="1" selected="0">
            <x v="1"/>
          </reference>
          <reference field="0" count="1" selected="0">
            <x v="5"/>
          </reference>
        </references>
      </pivotArea>
    </format>
    <format dxfId="106">
      <pivotArea outline="0" fieldPosition="0">
        <references count="2">
          <reference field="4294967294" count="1" selected="0">
            <x v="2"/>
          </reference>
          <reference field="0" count="1" selected="0">
            <x v="4"/>
          </reference>
        </references>
      </pivotArea>
    </format>
    <format dxfId="105">
      <pivotArea outline="0" fieldPosition="0">
        <references count="2">
          <reference field="4294967294" count="1" selected="0">
            <x v="2"/>
          </reference>
          <reference field="0" count="1" selected="0">
            <x v="5"/>
          </reference>
        </references>
      </pivotArea>
    </format>
    <format dxfId="104">
      <pivotArea outline="0" fieldPosition="0">
        <references count="2">
          <reference field="4294967294" count="1" selected="0">
            <x v="2"/>
          </reference>
          <reference field="0" count="1" selected="0">
            <x v="7"/>
          </reference>
        </references>
      </pivotArea>
    </format>
    <format dxfId="103">
      <pivotArea outline="0" fieldPosition="0">
        <references count="2">
          <reference field="4294967294" count="1" selected="0">
            <x v="3"/>
          </reference>
          <reference field="0" count="1" selected="0">
            <x v="5"/>
          </reference>
        </references>
      </pivotArea>
    </format>
    <format dxfId="102">
      <pivotArea outline="0" fieldPosition="0">
        <references count="2">
          <reference field="4294967294" count="1" selected="0">
            <x v="3"/>
          </reference>
          <reference field="0" count="1" selected="0">
            <x v="4"/>
          </reference>
        </references>
      </pivotArea>
    </format>
    <format dxfId="101">
      <pivotArea outline="0" fieldPosition="0">
        <references count="1">
          <reference field="0" count="1" selected="0">
            <x v="0"/>
          </reference>
        </references>
      </pivotArea>
    </format>
    <format dxfId="100">
      <pivotArea dataOnly="0" labelOnly="1" outline="0" fieldPosition="0">
        <references count="1">
          <reference field="0" count="1">
            <x v="0"/>
          </reference>
        </references>
      </pivotArea>
    </format>
    <format dxfId="99">
      <pivotArea dataOnly="0" labelOnly="1" outline="0" fieldPosition="0">
        <references count="2">
          <reference field="4294967294" count="0"/>
          <reference field="0" count="1" selected="0">
            <x v="0"/>
          </reference>
        </references>
      </pivotArea>
    </format>
    <format dxfId="98">
      <pivotArea outline="0" fieldPosition="0">
        <references count="1">
          <reference field="0" count="1" selected="0">
            <x v="15"/>
          </reference>
        </references>
      </pivotArea>
    </format>
    <format dxfId="97">
      <pivotArea dataOnly="0" labelOnly="1" outline="0" fieldPosition="0">
        <references count="1">
          <reference field="0" count="1">
            <x v="15"/>
          </reference>
        </references>
      </pivotArea>
    </format>
    <format dxfId="96">
      <pivotArea dataOnly="0" labelOnly="1" outline="0" fieldPosition="0">
        <references count="2">
          <reference field="4294967294" count="0"/>
          <reference field="0" count="1" selected="0">
            <x v="15"/>
          </reference>
        </references>
      </pivotArea>
    </format>
    <format dxfId="95">
      <pivotArea outline="0" fieldPosition="0">
        <references count="1">
          <reference field="0" count="1" selected="0">
            <x v="12"/>
          </reference>
        </references>
      </pivotArea>
    </format>
    <format dxfId="94">
      <pivotArea dataOnly="0" labelOnly="1" outline="0" fieldPosition="0">
        <references count="1">
          <reference field="0" count="1">
            <x v="12"/>
          </reference>
        </references>
      </pivotArea>
    </format>
    <format dxfId="93">
      <pivotArea dataOnly="0" labelOnly="1" outline="0" fieldPosition="0">
        <references count="2">
          <reference field="4294967294" count="0"/>
          <reference field="0" count="1" selected="0">
            <x v="12"/>
          </reference>
        </references>
      </pivotArea>
    </format>
    <format dxfId="92">
      <pivotArea outline="0" fieldPosition="0"/>
    </format>
    <format dxfId="91">
      <pivotArea field="-2" type="button" dataOnly="0" labelOnly="1" outline="0" axis="axisRow" fieldPosition="1"/>
    </format>
    <format dxfId="90">
      <pivotArea field="4" type="button" dataOnly="0" labelOnly="1" outline="0" axis="axisCol" fieldPosition="1"/>
    </format>
    <format dxfId="89">
      <pivotArea type="topRight" dataOnly="0" labelOnly="1" outline="0" fieldPosition="0"/>
    </format>
    <format dxfId="88">
      <pivotArea dataOnly="0" labelOnly="1" outline="0" fieldPosition="0">
        <references count="2">
          <reference field="4294967294" count="8">
            <x v="0"/>
            <x v="1"/>
            <x v="2"/>
            <x v="3"/>
            <x v="4"/>
            <x v="5"/>
            <x v="6"/>
            <x v="7"/>
          </reference>
          <reference field="0" count="1" selected="0">
            <x v="0"/>
          </reference>
        </references>
      </pivotArea>
    </format>
    <format dxfId="87">
      <pivotArea dataOnly="0" labelOnly="1" outline="0" fieldPosition="0">
        <references count="2">
          <reference field="4294967294" count="8">
            <x v="0"/>
            <x v="1"/>
            <x v="2"/>
            <x v="3"/>
            <x v="4"/>
            <x v="5"/>
            <x v="6"/>
            <x v="7"/>
          </reference>
          <reference field="0" count="1" selected="0">
            <x v="1"/>
          </reference>
        </references>
      </pivotArea>
    </format>
    <format dxfId="86">
      <pivotArea dataOnly="0" labelOnly="1" outline="0" fieldPosition="0">
        <references count="2">
          <reference field="4294967294" count="8">
            <x v="0"/>
            <x v="1"/>
            <x v="2"/>
            <x v="3"/>
            <x v="4"/>
            <x v="5"/>
            <x v="6"/>
            <x v="7"/>
          </reference>
          <reference field="0" count="1" selected="0">
            <x v="3"/>
          </reference>
        </references>
      </pivotArea>
    </format>
    <format dxfId="85">
      <pivotArea dataOnly="0" labelOnly="1" outline="0" fieldPosition="0">
        <references count="2">
          <reference field="4294967294" count="8">
            <x v="0"/>
            <x v="1"/>
            <x v="2"/>
            <x v="3"/>
            <x v="4"/>
            <x v="5"/>
            <x v="6"/>
            <x v="7"/>
          </reference>
          <reference field="0" count="1" selected="0">
            <x v="4"/>
          </reference>
        </references>
      </pivotArea>
    </format>
    <format dxfId="84">
      <pivotArea dataOnly="0" labelOnly="1" outline="0" fieldPosition="0">
        <references count="2">
          <reference field="4294967294" count="8">
            <x v="0"/>
            <x v="1"/>
            <x v="2"/>
            <x v="3"/>
            <x v="4"/>
            <x v="5"/>
            <x v="6"/>
            <x v="7"/>
          </reference>
          <reference field="0" count="1" selected="0">
            <x v="5"/>
          </reference>
        </references>
      </pivotArea>
    </format>
    <format dxfId="83">
      <pivotArea dataOnly="0" labelOnly="1" outline="0" fieldPosition="0">
        <references count="2">
          <reference field="4294967294" count="8">
            <x v="0"/>
            <x v="1"/>
            <x v="2"/>
            <x v="3"/>
            <x v="4"/>
            <x v="5"/>
            <x v="6"/>
            <x v="7"/>
          </reference>
          <reference field="0" count="1" selected="0">
            <x v="7"/>
          </reference>
        </references>
      </pivotArea>
    </format>
    <format dxfId="82">
      <pivotArea dataOnly="0" labelOnly="1" outline="0" fieldPosition="0">
        <references count="2">
          <reference field="4294967294" count="8">
            <x v="0"/>
            <x v="1"/>
            <x v="2"/>
            <x v="3"/>
            <x v="4"/>
            <x v="5"/>
            <x v="6"/>
            <x v="7"/>
          </reference>
          <reference field="0" count="1" selected="0">
            <x v="8"/>
          </reference>
        </references>
      </pivotArea>
    </format>
    <format dxfId="81">
      <pivotArea dataOnly="0" labelOnly="1" outline="0" fieldPosition="0">
        <references count="2">
          <reference field="4294967294" count="8">
            <x v="0"/>
            <x v="1"/>
            <x v="2"/>
            <x v="3"/>
            <x v="4"/>
            <x v="5"/>
            <x v="6"/>
            <x v="7"/>
          </reference>
          <reference field="0" count="1" selected="0">
            <x v="9"/>
          </reference>
        </references>
      </pivotArea>
    </format>
    <format dxfId="80">
      <pivotArea dataOnly="0" labelOnly="1" outline="0" fieldPosition="0">
        <references count="2">
          <reference field="4294967294" count="8">
            <x v="0"/>
            <x v="1"/>
            <x v="2"/>
            <x v="3"/>
            <x v="4"/>
            <x v="5"/>
            <x v="6"/>
            <x v="7"/>
          </reference>
          <reference field="0" count="1" selected="0">
            <x v="10"/>
          </reference>
        </references>
      </pivotArea>
    </format>
    <format dxfId="79">
      <pivotArea dataOnly="0" labelOnly="1" outline="0" fieldPosition="0">
        <references count="2">
          <reference field="4294967294" count="8">
            <x v="0"/>
            <x v="1"/>
            <x v="2"/>
            <x v="3"/>
            <x v="4"/>
            <x v="5"/>
            <x v="6"/>
            <x v="7"/>
          </reference>
          <reference field="0" count="1" selected="0">
            <x v="11"/>
          </reference>
        </references>
      </pivotArea>
    </format>
    <format dxfId="78">
      <pivotArea dataOnly="0" labelOnly="1" outline="0" fieldPosition="0">
        <references count="2">
          <reference field="4294967294" count="8">
            <x v="0"/>
            <x v="1"/>
            <x v="2"/>
            <x v="3"/>
            <x v="4"/>
            <x v="5"/>
            <x v="6"/>
            <x v="7"/>
          </reference>
          <reference field="0" count="1" selected="0">
            <x v="12"/>
          </reference>
        </references>
      </pivotArea>
    </format>
    <format dxfId="77">
      <pivotArea dataOnly="0" labelOnly="1" outline="0" fieldPosition="0">
        <references count="2">
          <reference field="4294967294" count="8">
            <x v="0"/>
            <x v="1"/>
            <x v="2"/>
            <x v="3"/>
            <x v="4"/>
            <x v="5"/>
            <x v="6"/>
            <x v="7"/>
          </reference>
          <reference field="0" count="1" selected="0">
            <x v="13"/>
          </reference>
        </references>
      </pivotArea>
    </format>
    <format dxfId="76">
      <pivotArea dataOnly="0" labelOnly="1" outline="0" fieldPosition="0">
        <references count="2">
          <reference field="4294967294" count="8">
            <x v="0"/>
            <x v="1"/>
            <x v="2"/>
            <x v="3"/>
            <x v="4"/>
            <x v="5"/>
            <x v="6"/>
            <x v="7"/>
          </reference>
          <reference field="0" count="1" selected="0">
            <x v="15"/>
          </reference>
        </references>
      </pivotArea>
    </format>
    <format dxfId="75">
      <pivotArea outline="0" fieldPosition="0"/>
    </format>
    <format dxfId="74">
      <pivotArea field="-2" type="button" dataOnly="0" labelOnly="1" outline="0" axis="axisRow" fieldPosition="1"/>
    </format>
    <format dxfId="73">
      <pivotArea field="4" type="button" dataOnly="0" labelOnly="1" outline="0" axis="axisCol" fieldPosition="1"/>
    </format>
    <format dxfId="72">
      <pivotArea type="topRight" dataOnly="0" labelOnly="1" outline="0" fieldPosition="0"/>
    </format>
    <format dxfId="71">
      <pivotArea dataOnly="0" labelOnly="1" outline="0" fieldPosition="0">
        <references count="2">
          <reference field="4294967294" count="8">
            <x v="0"/>
            <x v="1"/>
            <x v="2"/>
            <x v="3"/>
            <x v="4"/>
            <x v="5"/>
            <x v="6"/>
            <x v="7"/>
          </reference>
          <reference field="0" count="1" selected="0">
            <x v="0"/>
          </reference>
        </references>
      </pivotArea>
    </format>
    <format dxfId="70">
      <pivotArea dataOnly="0" labelOnly="1" outline="0" fieldPosition="0">
        <references count="2">
          <reference field="4294967294" count="8">
            <x v="0"/>
            <x v="1"/>
            <x v="2"/>
            <x v="3"/>
            <x v="4"/>
            <x v="5"/>
            <x v="6"/>
            <x v="7"/>
          </reference>
          <reference field="0" count="1" selected="0">
            <x v="1"/>
          </reference>
        </references>
      </pivotArea>
    </format>
    <format dxfId="69">
      <pivotArea dataOnly="0" labelOnly="1" outline="0" fieldPosition="0">
        <references count="2">
          <reference field="4294967294" count="8">
            <x v="0"/>
            <x v="1"/>
            <x v="2"/>
            <x v="3"/>
            <x v="4"/>
            <x v="5"/>
            <x v="6"/>
            <x v="7"/>
          </reference>
          <reference field="0" count="1" selected="0">
            <x v="3"/>
          </reference>
        </references>
      </pivotArea>
    </format>
    <format dxfId="68">
      <pivotArea dataOnly="0" labelOnly="1" outline="0" fieldPosition="0">
        <references count="2">
          <reference field="4294967294" count="8">
            <x v="0"/>
            <x v="1"/>
            <x v="2"/>
            <x v="3"/>
            <x v="4"/>
            <x v="5"/>
            <x v="6"/>
            <x v="7"/>
          </reference>
          <reference field="0" count="1" selected="0">
            <x v="4"/>
          </reference>
        </references>
      </pivotArea>
    </format>
    <format dxfId="67">
      <pivotArea dataOnly="0" labelOnly="1" outline="0" fieldPosition="0">
        <references count="2">
          <reference field="4294967294" count="8">
            <x v="0"/>
            <x v="1"/>
            <x v="2"/>
            <x v="3"/>
            <x v="4"/>
            <x v="5"/>
            <x v="6"/>
            <x v="7"/>
          </reference>
          <reference field="0" count="1" selected="0">
            <x v="5"/>
          </reference>
        </references>
      </pivotArea>
    </format>
    <format dxfId="66">
      <pivotArea dataOnly="0" labelOnly="1" outline="0" fieldPosition="0">
        <references count="2">
          <reference field="4294967294" count="8">
            <x v="0"/>
            <x v="1"/>
            <x v="2"/>
            <x v="3"/>
            <x v="4"/>
            <x v="5"/>
            <x v="6"/>
            <x v="7"/>
          </reference>
          <reference field="0" count="1" selected="0">
            <x v="7"/>
          </reference>
        </references>
      </pivotArea>
    </format>
    <format dxfId="65">
      <pivotArea dataOnly="0" labelOnly="1" outline="0" fieldPosition="0">
        <references count="2">
          <reference field="4294967294" count="8">
            <x v="0"/>
            <x v="1"/>
            <x v="2"/>
            <x v="3"/>
            <x v="4"/>
            <x v="5"/>
            <x v="6"/>
            <x v="7"/>
          </reference>
          <reference field="0" count="1" selected="0">
            <x v="8"/>
          </reference>
        </references>
      </pivotArea>
    </format>
    <format dxfId="64">
      <pivotArea dataOnly="0" labelOnly="1" outline="0" fieldPosition="0">
        <references count="2">
          <reference field="4294967294" count="8">
            <x v="0"/>
            <x v="1"/>
            <x v="2"/>
            <x v="3"/>
            <x v="4"/>
            <x v="5"/>
            <x v="6"/>
            <x v="7"/>
          </reference>
          <reference field="0" count="1" selected="0">
            <x v="9"/>
          </reference>
        </references>
      </pivotArea>
    </format>
    <format dxfId="63">
      <pivotArea dataOnly="0" labelOnly="1" outline="0" fieldPosition="0">
        <references count="2">
          <reference field="4294967294" count="8">
            <x v="0"/>
            <x v="1"/>
            <x v="2"/>
            <x v="3"/>
            <x v="4"/>
            <x v="5"/>
            <x v="6"/>
            <x v="7"/>
          </reference>
          <reference field="0" count="1" selected="0">
            <x v="10"/>
          </reference>
        </references>
      </pivotArea>
    </format>
    <format dxfId="62">
      <pivotArea dataOnly="0" labelOnly="1" outline="0" fieldPosition="0">
        <references count="2">
          <reference field="4294967294" count="8">
            <x v="0"/>
            <x v="1"/>
            <x v="2"/>
            <x v="3"/>
            <x v="4"/>
            <x v="5"/>
            <x v="6"/>
            <x v="7"/>
          </reference>
          <reference field="0" count="1" selected="0">
            <x v="11"/>
          </reference>
        </references>
      </pivotArea>
    </format>
    <format dxfId="61">
      <pivotArea dataOnly="0" labelOnly="1" outline="0" fieldPosition="0">
        <references count="2">
          <reference field="4294967294" count="8">
            <x v="0"/>
            <x v="1"/>
            <x v="2"/>
            <x v="3"/>
            <x v="4"/>
            <x v="5"/>
            <x v="6"/>
            <x v="7"/>
          </reference>
          <reference field="0" count="1" selected="0">
            <x v="12"/>
          </reference>
        </references>
      </pivotArea>
    </format>
    <format dxfId="60">
      <pivotArea dataOnly="0" labelOnly="1" outline="0" fieldPosition="0">
        <references count="2">
          <reference field="4294967294" count="8">
            <x v="0"/>
            <x v="1"/>
            <x v="2"/>
            <x v="3"/>
            <x v="4"/>
            <x v="5"/>
            <x v="6"/>
            <x v="7"/>
          </reference>
          <reference field="0" count="1" selected="0">
            <x v="13"/>
          </reference>
        </references>
      </pivotArea>
    </format>
    <format dxfId="59">
      <pivotArea dataOnly="0" labelOnly="1" outline="0" fieldPosition="0">
        <references count="2">
          <reference field="4294967294" count="8">
            <x v="0"/>
            <x v="1"/>
            <x v="2"/>
            <x v="3"/>
            <x v="4"/>
            <x v="5"/>
            <x v="6"/>
            <x v="7"/>
          </reference>
          <reference field="0" count="1" selected="0">
            <x v="15"/>
          </reference>
        </references>
      </pivotArea>
    </format>
    <format dxfId="58">
      <pivotArea type="all" dataOnly="0" outline="0" fieldPosition="0"/>
    </format>
    <format dxfId="57">
      <pivotArea type="all" dataOnly="0" outline="0" fieldPosition="0"/>
    </format>
    <format dxfId="56">
      <pivotArea outline="0" fieldPosition="0"/>
    </format>
    <format dxfId="55">
      <pivotArea dataOnly="0" labelOnly="1" outline="0" fieldPosition="0">
        <references count="1">
          <reference field="0" count="0"/>
        </references>
      </pivotArea>
    </format>
    <format dxfId="54">
      <pivotArea dataOnly="0" labelOnly="1" outline="0" fieldPosition="0">
        <references count="2">
          <reference field="4294967294" count="8">
            <x v="0"/>
            <x v="1"/>
            <x v="2"/>
            <x v="3"/>
            <x v="4"/>
            <x v="5"/>
            <x v="6"/>
            <x v="7"/>
          </reference>
          <reference field="0" count="1" selected="0">
            <x v="0"/>
          </reference>
        </references>
      </pivotArea>
    </format>
    <format dxfId="53">
      <pivotArea dataOnly="0" labelOnly="1" outline="0" fieldPosition="0">
        <references count="2">
          <reference field="4294967294" count="8">
            <x v="0"/>
            <x v="1"/>
            <x v="2"/>
            <x v="3"/>
            <x v="4"/>
            <x v="5"/>
            <x v="6"/>
            <x v="7"/>
          </reference>
          <reference field="0" count="1" selected="0">
            <x v="1"/>
          </reference>
        </references>
      </pivotArea>
    </format>
    <format dxfId="52">
      <pivotArea dataOnly="0" labelOnly="1" outline="0" fieldPosition="0">
        <references count="2">
          <reference field="4294967294" count="8">
            <x v="0"/>
            <x v="1"/>
            <x v="2"/>
            <x v="3"/>
            <x v="4"/>
            <x v="5"/>
            <x v="6"/>
            <x v="7"/>
          </reference>
          <reference field="0" count="1" selected="0">
            <x v="2"/>
          </reference>
        </references>
      </pivotArea>
    </format>
    <format dxfId="51">
      <pivotArea dataOnly="0" labelOnly="1" outline="0" fieldPosition="0">
        <references count="2">
          <reference field="4294967294" count="8">
            <x v="0"/>
            <x v="1"/>
            <x v="2"/>
            <x v="3"/>
            <x v="4"/>
            <x v="5"/>
            <x v="6"/>
            <x v="7"/>
          </reference>
          <reference field="0" count="1" selected="0">
            <x v="3"/>
          </reference>
        </references>
      </pivotArea>
    </format>
    <format dxfId="50">
      <pivotArea dataOnly="0" labelOnly="1" outline="0" fieldPosition="0">
        <references count="2">
          <reference field="4294967294" count="8">
            <x v="0"/>
            <x v="1"/>
            <x v="2"/>
            <x v="3"/>
            <x v="4"/>
            <x v="5"/>
            <x v="6"/>
            <x v="7"/>
          </reference>
          <reference field="0" count="1" selected="0">
            <x v="4"/>
          </reference>
        </references>
      </pivotArea>
    </format>
    <format dxfId="49">
      <pivotArea dataOnly="0" labelOnly="1" outline="0" fieldPosition="0">
        <references count="2">
          <reference field="4294967294" count="8">
            <x v="0"/>
            <x v="1"/>
            <x v="2"/>
            <x v="3"/>
            <x v="4"/>
            <x v="5"/>
            <x v="6"/>
            <x v="7"/>
          </reference>
          <reference field="0" count="1" selected="0">
            <x v="5"/>
          </reference>
        </references>
      </pivotArea>
    </format>
    <format dxfId="48">
      <pivotArea dataOnly="0" labelOnly="1" outline="0" fieldPosition="0">
        <references count="2">
          <reference field="4294967294" count="8">
            <x v="0"/>
            <x v="1"/>
            <x v="2"/>
            <x v="3"/>
            <x v="4"/>
            <x v="5"/>
            <x v="6"/>
            <x v="7"/>
          </reference>
          <reference field="0" count="1" selected="0">
            <x v="6"/>
          </reference>
        </references>
      </pivotArea>
    </format>
    <format dxfId="47">
      <pivotArea dataOnly="0" labelOnly="1" outline="0" fieldPosition="0">
        <references count="2">
          <reference field="4294967294" count="8">
            <x v="0"/>
            <x v="1"/>
            <x v="2"/>
            <x v="3"/>
            <x v="4"/>
            <x v="5"/>
            <x v="6"/>
            <x v="7"/>
          </reference>
          <reference field="0" count="1" selected="0">
            <x v="7"/>
          </reference>
        </references>
      </pivotArea>
    </format>
    <format dxfId="46">
      <pivotArea dataOnly="0" labelOnly="1" outline="0" fieldPosition="0">
        <references count="2">
          <reference field="4294967294" count="8">
            <x v="0"/>
            <x v="1"/>
            <x v="2"/>
            <x v="3"/>
            <x v="4"/>
            <x v="5"/>
            <x v="6"/>
            <x v="7"/>
          </reference>
          <reference field="0" count="1" selected="0">
            <x v="8"/>
          </reference>
        </references>
      </pivotArea>
    </format>
    <format dxfId="45">
      <pivotArea dataOnly="0" labelOnly="1" outline="0" fieldPosition="0">
        <references count="2">
          <reference field="4294967294" count="8">
            <x v="0"/>
            <x v="1"/>
            <x v="2"/>
            <x v="3"/>
            <x v="4"/>
            <x v="5"/>
            <x v="6"/>
            <x v="7"/>
          </reference>
          <reference field="0" count="1" selected="0">
            <x v="9"/>
          </reference>
        </references>
      </pivotArea>
    </format>
    <format dxfId="44">
      <pivotArea dataOnly="0" labelOnly="1" outline="0" fieldPosition="0">
        <references count="2">
          <reference field="4294967294" count="8">
            <x v="0"/>
            <x v="1"/>
            <x v="2"/>
            <x v="3"/>
            <x v="4"/>
            <x v="5"/>
            <x v="6"/>
            <x v="7"/>
          </reference>
          <reference field="0" count="1" selected="0">
            <x v="10"/>
          </reference>
        </references>
      </pivotArea>
    </format>
    <format dxfId="43">
      <pivotArea dataOnly="0" labelOnly="1" outline="0" fieldPosition="0">
        <references count="2">
          <reference field="4294967294" count="8">
            <x v="0"/>
            <x v="1"/>
            <x v="2"/>
            <x v="3"/>
            <x v="4"/>
            <x v="5"/>
            <x v="6"/>
            <x v="7"/>
          </reference>
          <reference field="0" count="1" selected="0">
            <x v="11"/>
          </reference>
        </references>
      </pivotArea>
    </format>
    <format dxfId="42">
      <pivotArea dataOnly="0" labelOnly="1" outline="0" fieldPosition="0">
        <references count="2">
          <reference field="4294967294" count="8">
            <x v="0"/>
            <x v="1"/>
            <x v="2"/>
            <x v="3"/>
            <x v="4"/>
            <x v="5"/>
            <x v="6"/>
            <x v="7"/>
          </reference>
          <reference field="0" count="1" selected="0">
            <x v="12"/>
          </reference>
        </references>
      </pivotArea>
    </format>
    <format dxfId="41">
      <pivotArea dataOnly="0" labelOnly="1" outline="0" fieldPosition="0">
        <references count="2">
          <reference field="4294967294" count="8">
            <x v="0"/>
            <x v="1"/>
            <x v="2"/>
            <x v="3"/>
            <x v="4"/>
            <x v="5"/>
            <x v="6"/>
            <x v="7"/>
          </reference>
          <reference field="0" count="1" selected="0">
            <x v="13"/>
          </reference>
        </references>
      </pivotArea>
    </format>
    <format dxfId="40">
      <pivotArea dataOnly="0" labelOnly="1" outline="0" fieldPosition="0">
        <references count="2">
          <reference field="4294967294" count="8">
            <x v="0"/>
            <x v="1"/>
            <x v="2"/>
            <x v="3"/>
            <x v="4"/>
            <x v="5"/>
            <x v="6"/>
            <x v="7"/>
          </reference>
          <reference field="0" count="1" selected="0">
            <x v="14"/>
          </reference>
        </references>
      </pivotArea>
    </format>
    <format dxfId="39">
      <pivotArea dataOnly="0" labelOnly="1" outline="0" fieldPosition="0">
        <references count="2">
          <reference field="4294967294" count="8">
            <x v="0"/>
            <x v="1"/>
            <x v="2"/>
            <x v="3"/>
            <x v="4"/>
            <x v="5"/>
            <x v="6"/>
            <x v="7"/>
          </reference>
          <reference field="0" count="1" selected="0">
            <x v="15"/>
          </reference>
        </references>
      </pivotArea>
    </format>
    <format dxfId="38">
      <pivotArea outline="0" fieldPosition="0"/>
    </format>
    <format dxfId="37">
      <pivotArea dataOnly="0" labelOnly="1" outline="0" fieldPosition="0">
        <references count="1">
          <reference field="0" count="0"/>
        </references>
      </pivotArea>
    </format>
    <format dxfId="36">
      <pivotArea dataOnly="0" labelOnly="1" outline="0" fieldPosition="0">
        <references count="2">
          <reference field="4294967294" count="8">
            <x v="0"/>
            <x v="1"/>
            <x v="2"/>
            <x v="3"/>
            <x v="4"/>
            <x v="5"/>
            <x v="6"/>
            <x v="7"/>
          </reference>
          <reference field="0" count="1" selected="0">
            <x v="0"/>
          </reference>
        </references>
      </pivotArea>
    </format>
    <format dxfId="35">
      <pivotArea dataOnly="0" labelOnly="1" outline="0" fieldPosition="0">
        <references count="2">
          <reference field="4294967294" count="8">
            <x v="0"/>
            <x v="1"/>
            <x v="2"/>
            <x v="3"/>
            <x v="4"/>
            <x v="5"/>
            <x v="6"/>
            <x v="7"/>
          </reference>
          <reference field="0" count="1" selected="0">
            <x v="1"/>
          </reference>
        </references>
      </pivotArea>
    </format>
    <format dxfId="34">
      <pivotArea dataOnly="0" labelOnly="1" outline="0" fieldPosition="0">
        <references count="2">
          <reference field="4294967294" count="8">
            <x v="0"/>
            <x v="1"/>
            <x v="2"/>
            <x v="3"/>
            <x v="4"/>
            <x v="5"/>
            <x v="6"/>
            <x v="7"/>
          </reference>
          <reference field="0" count="1" selected="0">
            <x v="2"/>
          </reference>
        </references>
      </pivotArea>
    </format>
    <format dxfId="33">
      <pivotArea dataOnly="0" labelOnly="1" outline="0" fieldPosition="0">
        <references count="2">
          <reference field="4294967294" count="8">
            <x v="0"/>
            <x v="1"/>
            <x v="2"/>
            <x v="3"/>
            <x v="4"/>
            <x v="5"/>
            <x v="6"/>
            <x v="7"/>
          </reference>
          <reference field="0" count="1" selected="0">
            <x v="3"/>
          </reference>
        </references>
      </pivotArea>
    </format>
    <format dxfId="32">
      <pivotArea dataOnly="0" labelOnly="1" outline="0" fieldPosition="0">
        <references count="2">
          <reference field="4294967294" count="8">
            <x v="0"/>
            <x v="1"/>
            <x v="2"/>
            <x v="3"/>
            <x v="4"/>
            <x v="5"/>
            <x v="6"/>
            <x v="7"/>
          </reference>
          <reference field="0" count="1" selected="0">
            <x v="4"/>
          </reference>
        </references>
      </pivotArea>
    </format>
    <format dxfId="31">
      <pivotArea dataOnly="0" labelOnly="1" outline="0" fieldPosition="0">
        <references count="2">
          <reference field="4294967294" count="8">
            <x v="0"/>
            <x v="1"/>
            <x v="2"/>
            <x v="3"/>
            <x v="4"/>
            <x v="5"/>
            <x v="6"/>
            <x v="7"/>
          </reference>
          <reference field="0" count="1" selected="0">
            <x v="5"/>
          </reference>
        </references>
      </pivotArea>
    </format>
    <format dxfId="30">
      <pivotArea dataOnly="0" labelOnly="1" outline="0" fieldPosition="0">
        <references count="2">
          <reference field="4294967294" count="8">
            <x v="0"/>
            <x v="1"/>
            <x v="2"/>
            <x v="3"/>
            <x v="4"/>
            <x v="5"/>
            <x v="6"/>
            <x v="7"/>
          </reference>
          <reference field="0" count="1" selected="0">
            <x v="6"/>
          </reference>
        </references>
      </pivotArea>
    </format>
    <format dxfId="29">
      <pivotArea dataOnly="0" labelOnly="1" outline="0" fieldPosition="0">
        <references count="2">
          <reference field="4294967294" count="8">
            <x v="0"/>
            <x v="1"/>
            <x v="2"/>
            <x v="3"/>
            <x v="4"/>
            <x v="5"/>
            <x v="6"/>
            <x v="7"/>
          </reference>
          <reference field="0" count="1" selected="0">
            <x v="7"/>
          </reference>
        </references>
      </pivotArea>
    </format>
    <format dxfId="28">
      <pivotArea dataOnly="0" labelOnly="1" outline="0" fieldPosition="0">
        <references count="2">
          <reference field="4294967294" count="8">
            <x v="0"/>
            <x v="1"/>
            <x v="2"/>
            <x v="3"/>
            <x v="4"/>
            <x v="5"/>
            <x v="6"/>
            <x v="7"/>
          </reference>
          <reference field="0" count="1" selected="0">
            <x v="8"/>
          </reference>
        </references>
      </pivotArea>
    </format>
    <format dxfId="27">
      <pivotArea dataOnly="0" labelOnly="1" outline="0" fieldPosition="0">
        <references count="2">
          <reference field="4294967294" count="8">
            <x v="0"/>
            <x v="1"/>
            <x v="2"/>
            <x v="3"/>
            <x v="4"/>
            <x v="5"/>
            <x v="6"/>
            <x v="7"/>
          </reference>
          <reference field="0" count="1" selected="0">
            <x v="9"/>
          </reference>
        </references>
      </pivotArea>
    </format>
    <format dxfId="26">
      <pivotArea dataOnly="0" labelOnly="1" outline="0" fieldPosition="0">
        <references count="2">
          <reference field="4294967294" count="8">
            <x v="0"/>
            <x v="1"/>
            <x v="2"/>
            <x v="3"/>
            <x v="4"/>
            <x v="5"/>
            <x v="6"/>
            <x v="7"/>
          </reference>
          <reference field="0" count="1" selected="0">
            <x v="10"/>
          </reference>
        </references>
      </pivotArea>
    </format>
    <format dxfId="25">
      <pivotArea dataOnly="0" labelOnly="1" outline="0" fieldPosition="0">
        <references count="2">
          <reference field="4294967294" count="8">
            <x v="0"/>
            <x v="1"/>
            <x v="2"/>
            <x v="3"/>
            <x v="4"/>
            <x v="5"/>
            <x v="6"/>
            <x v="7"/>
          </reference>
          <reference field="0" count="1" selected="0">
            <x v="11"/>
          </reference>
        </references>
      </pivotArea>
    </format>
    <format dxfId="24">
      <pivotArea dataOnly="0" labelOnly="1" outline="0" fieldPosition="0">
        <references count="2">
          <reference field="4294967294" count="8">
            <x v="0"/>
            <x v="1"/>
            <x v="2"/>
            <x v="3"/>
            <x v="4"/>
            <x v="5"/>
            <x v="6"/>
            <x v="7"/>
          </reference>
          <reference field="0" count="1" selected="0">
            <x v="12"/>
          </reference>
        </references>
      </pivotArea>
    </format>
    <format dxfId="23">
      <pivotArea dataOnly="0" labelOnly="1" outline="0" fieldPosition="0">
        <references count="2">
          <reference field="4294967294" count="8">
            <x v="0"/>
            <x v="1"/>
            <x v="2"/>
            <x v="3"/>
            <x v="4"/>
            <x v="5"/>
            <x v="6"/>
            <x v="7"/>
          </reference>
          <reference field="0" count="1" selected="0">
            <x v="13"/>
          </reference>
        </references>
      </pivotArea>
    </format>
    <format dxfId="22">
      <pivotArea dataOnly="0" labelOnly="1" outline="0" fieldPosition="0">
        <references count="2">
          <reference field="4294967294" count="8">
            <x v="0"/>
            <x v="1"/>
            <x v="2"/>
            <x v="3"/>
            <x v="4"/>
            <x v="5"/>
            <x v="6"/>
            <x v="7"/>
          </reference>
          <reference field="0" count="1" selected="0">
            <x v="14"/>
          </reference>
        </references>
      </pivotArea>
    </format>
    <format dxfId="21">
      <pivotArea dataOnly="0" labelOnly="1" outline="0" fieldPosition="0">
        <references count="2">
          <reference field="4294967294" count="8">
            <x v="0"/>
            <x v="1"/>
            <x v="2"/>
            <x v="3"/>
            <x v="4"/>
            <x v="5"/>
            <x v="6"/>
            <x v="7"/>
          </reference>
          <reference field="0" count="1" selected="0">
            <x v="15"/>
          </reference>
        </references>
      </pivotArea>
    </format>
    <format dxfId="20">
      <pivotArea field="0" type="button" dataOnly="0" labelOnly="1" outline="0" axis="axisRow" fieldPosition="0"/>
    </format>
    <format dxfId="19">
      <pivotArea field="-2" type="button" dataOnly="0" labelOnly="1" outline="0" axis="axisRow" fieldPosition="1"/>
    </format>
    <format dxfId="18">
      <pivotArea outline="0" fieldPosition="0">
        <references count="2">
          <reference field="4294967294" count="1" selected="0">
            <x v="7"/>
          </reference>
          <reference field="0" count="1" selected="0">
            <x v="0"/>
          </reference>
        </references>
      </pivotArea>
    </format>
    <format dxfId="17">
      <pivotArea dataOnly="0" labelOnly="1" outline="0" offset="IV256" fieldPosition="0">
        <references count="1">
          <reference field="0" count="1">
            <x v="0"/>
          </reference>
        </references>
      </pivotArea>
    </format>
    <format dxfId="16">
      <pivotArea dataOnly="0" labelOnly="1" outline="0" fieldPosition="0">
        <references count="2">
          <reference field="4294967294" count="1">
            <x v="7"/>
          </reference>
          <reference field="0" count="1" selected="0">
            <x v="0"/>
          </reference>
        </references>
      </pivotArea>
    </format>
    <format dxfId="15">
      <pivotArea outline="0" fieldPosition="0">
        <references count="2">
          <reference field="4294967294" count="1" selected="0">
            <x v="1"/>
          </reference>
          <reference field="0" count="1" selected="0">
            <x v="0"/>
          </reference>
        </references>
      </pivotArea>
    </format>
    <format dxfId="14">
      <pivotArea dataOnly="0" labelOnly="1" outline="0" fieldPosition="0">
        <references count="2">
          <reference field="4294967294" count="1">
            <x v="1"/>
          </reference>
          <reference field="0" count="1" selected="0">
            <x v="0"/>
          </reference>
        </references>
      </pivotArea>
    </format>
    <format dxfId="13">
      <pivotArea outline="0" fieldPosition="0">
        <references count="2">
          <reference field="4294967294" count="1" selected="0">
            <x v="3"/>
          </reference>
          <reference field="0" count="1" selected="0">
            <x v="0"/>
          </reference>
        </references>
      </pivotArea>
    </format>
    <format dxfId="12">
      <pivotArea dataOnly="0" labelOnly="1" outline="0" fieldPosition="0">
        <references count="2">
          <reference field="4294967294" count="1">
            <x v="3"/>
          </reference>
          <reference field="0" count="1" selected="0">
            <x v="0"/>
          </reference>
        </references>
      </pivotArea>
    </format>
    <format dxfId="11">
      <pivotArea outline="0" fieldPosition="0">
        <references count="2">
          <reference field="4294967294" count="1" selected="0">
            <x v="5"/>
          </reference>
          <reference field="0" count="1" selected="0">
            <x v="0"/>
          </reference>
        </references>
      </pivotArea>
    </format>
    <format dxfId="10">
      <pivotArea dataOnly="0" labelOnly="1" outline="0" fieldPosition="0">
        <references count="2">
          <reference field="4294967294" count="1">
            <x v="5"/>
          </reference>
          <reference field="0" count="1" selected="0">
            <x v="0"/>
          </reference>
        </references>
      </pivotArea>
    </format>
    <format dxfId="9">
      <pivotArea type="topRight" dataOnly="0" labelOnly="1" outline="0" offset="F1" fieldPosition="0"/>
    </format>
    <format dxfId="8">
      <pivotArea outline="0" fieldPosition="0">
        <references count="2">
          <reference field="4" count="1" selected="0">
            <x v="13"/>
          </reference>
          <reference field="70" count="1" selected="0">
            <x v="3"/>
          </reference>
        </references>
      </pivotArea>
    </format>
    <format dxfId="7">
      <pivotArea type="topRight" dataOnly="0" labelOnly="1" outline="0" offset="K1" fieldPosition="0"/>
    </format>
    <format dxfId="6">
      <pivotArea dataOnly="0" labelOnly="1" outline="0" offset="IV256" fieldPosition="0">
        <references count="1">
          <reference field="70" count="1">
            <x v="3"/>
          </reference>
        </references>
      </pivotArea>
    </format>
    <format dxfId="5">
      <pivotArea dataOnly="0" labelOnly="1" outline="0" fieldPosition="0">
        <references count="2">
          <reference field="4" count="1">
            <x v="13"/>
          </reference>
          <reference field="70" count="1" selected="0">
            <x v="3"/>
          </reference>
        </references>
      </pivotArea>
    </format>
    <format dxfId="4">
      <pivotArea outline="0" fieldPosition="0">
        <references count="2">
          <reference field="4" count="1" selected="0">
            <x v="15"/>
          </reference>
          <reference field="70" count="1" selected="0">
            <x v="4"/>
          </reference>
        </references>
      </pivotArea>
    </format>
    <format dxfId="3">
      <pivotArea type="topRight" dataOnly="0" labelOnly="1" outline="0" offset="N1" fieldPosition="0"/>
    </format>
    <format dxfId="2">
      <pivotArea dataOnly="0" labelOnly="1" outline="0" offset="IV256" fieldPosition="0">
        <references count="1">
          <reference field="70" count="1">
            <x v="4"/>
          </reference>
        </references>
      </pivotArea>
    </format>
    <format dxfId="1">
      <pivotArea dataOnly="0" labelOnly="1" outline="0" fieldPosition="0">
        <references count="2">
          <reference field="4" count="1">
            <x v="15"/>
          </reference>
          <reference field="70" count="1" selected="0">
            <x v="4"/>
          </reference>
        </references>
      </pivotArea>
    </format>
    <format dxfId="0">
      <pivotArea outline="0" fieldPosition="0">
        <references count="4">
          <reference field="4294967294" count="1" selected="0">
            <x v="2"/>
          </reference>
          <reference field="0" count="1" selected="0">
            <x v="11"/>
          </reference>
          <reference field="4" count="1" selected="0">
            <x v="2"/>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ype13gr1_1" connectionId="12" xr16:uid="{00000000-0016-0000-0000-000001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ype13gr2_1" connectionId="13" xr16:uid="{00000000-0016-0000-0000-000004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ype13gr3_1" connectionId="14" xr16:uid="{00000000-0016-0000-0000-00000200000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Type13ug3_1" connectionId="19" xr16:uid="{00000000-0016-0000-0000-00000000000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ype13gr4_1" connectionId="15" xr16:uid="{00000000-0016-0000-0000-000005000000}"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Type13ug4_1" connectionId="20" xr16:uid="{00000000-0016-0000-0000-000008000000}"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Type13gr5_2" connectionId="16" xr16:uid="{00000000-0016-0000-0000-000009000000}"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Type13ug1_1" connectionId="17" xr16:uid="{00000000-0016-0000-0000-00000300000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Type13ug2_1" connectionId="18" xr16:uid="{00000000-0016-0000-0000-000006000000}"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Type13ug5_1" connectionId="21" xr16:uid="{00000000-0016-0000-0000-000007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12" Type="http://schemas.openxmlformats.org/officeDocument/2006/relationships/comments" Target="../comments4.xml"/><Relationship Id="rId2" Type="http://schemas.openxmlformats.org/officeDocument/2006/relationships/queryTable" Target="../queryTables/queryTable1.xml"/><Relationship Id="rId1" Type="http://schemas.openxmlformats.org/officeDocument/2006/relationships/vmlDrawing" Target="../drawings/vmlDrawing4.v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8C3-9555-4707-B53A-A5F3C171EA40}">
  <sheetPr>
    <tabColor rgb="FFC00000"/>
  </sheetPr>
  <dimension ref="A1:AN116"/>
  <sheetViews>
    <sheetView showZeros="0" view="pageBreakPreview" zoomScaleNormal="100" zoomScaleSheetLayoutView="100" workbookViewId="0">
      <selection activeCell="J19" sqref="J19"/>
    </sheetView>
  </sheetViews>
  <sheetFormatPr defaultRowHeight="15"/>
  <cols>
    <col min="1" max="1" width="9.88671875" style="225" customWidth="1"/>
    <col min="2" max="16" width="5.5546875" style="225" customWidth="1"/>
    <col min="17" max="23" width="8.88671875" style="225"/>
    <col min="24" max="24" width="10.33203125" style="225" customWidth="1"/>
    <col min="25" max="16384" width="8.88671875" style="225"/>
  </cols>
  <sheetData>
    <row r="1" spans="1:33" ht="18">
      <c r="A1" s="503" t="s">
        <v>981</v>
      </c>
      <c r="B1" s="503"/>
      <c r="C1" s="503"/>
      <c r="D1" s="503"/>
      <c r="E1" s="503"/>
      <c r="F1" s="503"/>
      <c r="G1" s="503"/>
      <c r="H1" s="503"/>
      <c r="I1" s="503"/>
      <c r="J1" s="503"/>
      <c r="K1" s="503"/>
      <c r="L1" s="503"/>
      <c r="M1" s="503"/>
      <c r="N1" s="503"/>
      <c r="O1" s="503"/>
      <c r="P1" s="503"/>
    </row>
    <row r="2" spans="1:33" s="349" customFormat="1" ht="12.75">
      <c r="A2" s="350"/>
      <c r="B2" s="346"/>
      <c r="C2" s="346"/>
      <c r="D2" s="346"/>
      <c r="E2" s="346"/>
      <c r="F2" s="346"/>
      <c r="G2" s="346"/>
      <c r="H2" s="346"/>
      <c r="I2" s="346"/>
      <c r="J2" s="346"/>
      <c r="K2" s="346"/>
      <c r="L2" s="346"/>
      <c r="M2" s="346"/>
      <c r="N2" s="346"/>
      <c r="O2" s="346"/>
      <c r="P2" s="346"/>
    </row>
    <row r="3" spans="1:33" ht="15.75">
      <c r="A3" s="352" t="s">
        <v>1004</v>
      </c>
      <c r="B3" s="346"/>
      <c r="C3" s="346"/>
      <c r="D3" s="346"/>
      <c r="E3" s="346"/>
      <c r="F3" s="346"/>
      <c r="G3" s="440"/>
      <c r="H3" s="440"/>
      <c r="I3" s="440"/>
      <c r="J3" s="440"/>
      <c r="K3" s="440"/>
      <c r="L3" s="440"/>
      <c r="M3" s="440"/>
      <c r="N3" s="440"/>
      <c r="O3" s="440"/>
      <c r="P3" s="440"/>
    </row>
    <row r="4" spans="1:33">
      <c r="A4" s="483"/>
      <c r="B4" s="444"/>
      <c r="C4" s="444"/>
      <c r="D4" s="444"/>
      <c r="E4" s="444"/>
      <c r="F4" s="444"/>
      <c r="G4" s="444"/>
      <c r="H4" s="444"/>
      <c r="I4" s="444"/>
      <c r="J4" s="444"/>
      <c r="K4" s="444"/>
      <c r="L4" s="444"/>
    </row>
    <row r="5" spans="1:33" s="450" customFormat="1">
      <c r="A5" s="484"/>
      <c r="B5" s="504" t="s">
        <v>784</v>
      </c>
      <c r="C5" s="504"/>
      <c r="D5" s="504"/>
      <c r="E5" s="504"/>
      <c r="F5" s="504"/>
      <c r="G5" s="504"/>
      <c r="H5" s="505"/>
      <c r="I5" s="506" t="s">
        <v>787</v>
      </c>
      <c r="J5" s="504"/>
      <c r="K5" s="504"/>
      <c r="L5" s="504"/>
      <c r="M5" s="504"/>
      <c r="N5" s="372" t="s">
        <v>803</v>
      </c>
      <c r="O5" s="361"/>
      <c r="P5" s="361"/>
      <c r="R5" s="225"/>
      <c r="S5" s="225"/>
      <c r="T5" s="225"/>
      <c r="U5" s="225"/>
      <c r="V5" s="225"/>
      <c r="W5" s="225"/>
      <c r="X5" s="225"/>
      <c r="Y5" s="225"/>
      <c r="Z5" s="225"/>
      <c r="AA5" s="225"/>
      <c r="AB5" s="225"/>
      <c r="AC5" s="225"/>
      <c r="AD5" s="225"/>
      <c r="AE5" s="225"/>
      <c r="AF5" s="225"/>
      <c r="AG5" s="225"/>
    </row>
    <row r="6" spans="1:33" s="454" customFormat="1" ht="24.75">
      <c r="A6" s="485"/>
      <c r="B6" s="367">
        <v>1</v>
      </c>
      <c r="C6" s="367">
        <v>2</v>
      </c>
      <c r="D6" s="367">
        <v>3</v>
      </c>
      <c r="E6" s="367">
        <v>4</v>
      </c>
      <c r="F6" s="367">
        <v>5</v>
      </c>
      <c r="G6" s="367">
        <v>6</v>
      </c>
      <c r="H6" s="486" t="s">
        <v>998</v>
      </c>
      <c r="I6" s="487" t="s">
        <v>983</v>
      </c>
      <c r="J6" s="367">
        <v>1</v>
      </c>
      <c r="K6" s="367">
        <v>2</v>
      </c>
      <c r="L6" s="367">
        <v>3</v>
      </c>
      <c r="M6" s="366" t="s">
        <v>984</v>
      </c>
      <c r="N6" s="366">
        <v>1</v>
      </c>
      <c r="O6" s="367">
        <v>2</v>
      </c>
      <c r="P6" s="366" t="s">
        <v>984</v>
      </c>
      <c r="R6" s="225"/>
      <c r="S6" s="225"/>
      <c r="T6" s="225"/>
      <c r="U6" s="225"/>
      <c r="V6" s="225"/>
      <c r="W6" s="225"/>
      <c r="X6" s="225"/>
      <c r="Y6" s="225"/>
      <c r="Z6" s="225"/>
      <c r="AA6" s="225"/>
      <c r="AB6" s="225"/>
      <c r="AC6" s="225"/>
      <c r="AD6" s="225"/>
      <c r="AE6" s="225"/>
      <c r="AF6" s="225"/>
      <c r="AG6" s="225"/>
    </row>
    <row r="7" spans="1:33">
      <c r="A7" s="349" t="s">
        <v>885</v>
      </c>
      <c r="B7" s="455">
        <f>+'NEW...Tables 91-112'!B41+'NEW...Tables 91-112'!C41</f>
        <v>91.71954004014701</v>
      </c>
      <c r="C7" s="455">
        <f>+'NEW...Tables 91-112'!B72+'NEW...Tables 91-112'!C72</f>
        <v>79.934543315512485</v>
      </c>
      <c r="D7" s="455">
        <f>+'NEW...Tables 91-112'!B102+'NEW...Tables 91-112'!C102</f>
        <v>80.967059384214039</v>
      </c>
      <c r="E7" s="455">
        <f>+'NEW...Tables 91-112'!B133+'NEW...Tables 91-112'!C133</f>
        <v>82.87184543550714</v>
      </c>
      <c r="F7" s="455">
        <f>+'NEW...Tables 91-112'!B164+'NEW...Tables 91-112'!C164</f>
        <v>89.840161225838571</v>
      </c>
      <c r="G7" s="455">
        <f>+'NEW...Tables 91-112'!B194+'NEW...Tables 91-112'!C194</f>
        <v>22.888905468924868</v>
      </c>
      <c r="H7" s="460">
        <f>+'NEW...Tables 91-112'!B9+'NEW...Tables 91-112'!C9</f>
        <v>85.103848211237363</v>
      </c>
      <c r="I7" s="457">
        <f>+'NEW...Tables 91-112'!B256+'NEW...Tables 91-112'!C256</f>
        <v>0</v>
      </c>
      <c r="J7" s="455">
        <f>+'NEW...Tables 91-112'!B287+'NEW...Tables 91-112'!C287</f>
        <v>65.862686502169169</v>
      </c>
      <c r="K7" s="455">
        <f>+'NEW...Tables 91-112'!B318+'NEW...Tables 91-112'!C318</f>
        <v>78.305782209204779</v>
      </c>
      <c r="L7" s="455">
        <f>+'NEW...Tables 91-112'!B349+'NEW...Tables 91-112'!C349</f>
        <v>65.515659425752872</v>
      </c>
      <c r="M7" s="457">
        <f>+'NEW...Tables 91-112'!B225+'NEW...Tables 91-112'!C225</f>
        <v>72.81948915576379</v>
      </c>
      <c r="N7" s="458">
        <f>+'NEW...Tables 91-112'!B410+'NEW...Tables 91-112'!C410</f>
        <v>91.756316927128623</v>
      </c>
      <c r="O7" s="384">
        <f>+'NEW...Tables 91-112'!B440+'NEW...Tables 91-112'!C440</f>
        <v>85.755644328740061</v>
      </c>
      <c r="P7" s="457">
        <f>+'NEW...Tables 91-112'!B380+'NEW...Tables 91-112'!C380</f>
        <v>88.603535085547193</v>
      </c>
      <c r="Q7" s="349"/>
      <c r="R7" s="349"/>
      <c r="V7" s="349"/>
    </row>
    <row r="8" spans="1:33">
      <c r="A8" s="349" t="s">
        <v>886</v>
      </c>
      <c r="B8" s="455">
        <f>+'NEW...Tables 91-112'!B42+'NEW...Tables 91-112'!C42</f>
        <v>90.796501360684687</v>
      </c>
      <c r="C8" s="455">
        <f>+'NEW...Tables 91-112'!B73+'NEW...Tables 91-112'!C73</f>
        <v>64.971948998178505</v>
      </c>
      <c r="D8" s="455">
        <f>+'NEW...Tables 91-112'!B103+'NEW...Tables 91-112'!C103</f>
        <v>78.342922263864907</v>
      </c>
      <c r="E8" s="455">
        <f>+'NEW...Tables 91-112'!B134+'NEW...Tables 91-112'!C134</f>
        <v>81.609484944665567</v>
      </c>
      <c r="F8" s="455">
        <f>+'NEW...Tables 91-112'!B165+'NEW...Tables 91-112'!C165</f>
        <v>76.302632290146477</v>
      </c>
      <c r="G8" s="455">
        <f>+'NEW...Tables 91-112'!B195+'NEW...Tables 91-112'!C195</f>
        <v>77.85195247644306</v>
      </c>
      <c r="H8" s="460">
        <f>+'NEW...Tables 91-112'!B10+'NEW...Tables 91-112'!C10</f>
        <v>80.946173667943754</v>
      </c>
      <c r="I8" s="457">
        <f>+'NEW...Tables 91-112'!B257+'NEW...Tables 91-112'!C257</f>
        <v>0</v>
      </c>
      <c r="J8" s="455">
        <f>+'NEW...Tables 91-112'!B288+'NEW...Tables 91-112'!C288</f>
        <v>69.360880338143119</v>
      </c>
      <c r="K8" s="455">
        <f>+'NEW...Tables 91-112'!B319+'NEW...Tables 91-112'!C319</f>
        <v>74.807662018246361</v>
      </c>
      <c r="L8" s="455">
        <f>+'NEW...Tables 91-112'!B350+'NEW...Tables 91-112'!C350</f>
        <v>74.086772978377454</v>
      </c>
      <c r="M8" s="457">
        <f>+'NEW...Tables 91-112'!B226+'NEW...Tables 91-112'!C226</f>
        <v>72.785646618209427</v>
      </c>
      <c r="N8" s="458">
        <f>+'NEW...Tables 91-112'!B411+'NEW...Tables 91-112'!C411</f>
        <v>0</v>
      </c>
      <c r="O8" s="384">
        <f>+'NEW...Tables 91-112'!B441+'NEW...Tables 91-112'!C441</f>
        <v>0</v>
      </c>
      <c r="P8" s="457">
        <f>+'NEW...Tables 91-112'!B381+'NEW...Tables 91-112'!C381</f>
        <v>0</v>
      </c>
    </row>
    <row r="9" spans="1:33">
      <c r="A9" s="349" t="s">
        <v>887</v>
      </c>
      <c r="B9" s="455">
        <f>+'NEW...Tables 91-112'!B43+'NEW...Tables 91-112'!C43</f>
        <v>96.399075104907084</v>
      </c>
      <c r="C9" s="455">
        <f>+'NEW...Tables 91-112'!B74+'NEW...Tables 91-112'!C74</f>
        <v>0</v>
      </c>
      <c r="D9" s="455">
        <f>+'NEW...Tables 91-112'!B104+'NEW...Tables 91-112'!C104</f>
        <v>94.801350087430365</v>
      </c>
      <c r="E9" s="455">
        <f>+'NEW...Tables 91-112'!B135+'NEW...Tables 91-112'!C135</f>
        <v>0</v>
      </c>
      <c r="F9" s="455">
        <f>+'NEW...Tables 91-112'!B166+'NEW...Tables 91-112'!C166</f>
        <v>0</v>
      </c>
      <c r="G9" s="455">
        <f>+'NEW...Tables 91-112'!B196+'NEW...Tables 91-112'!C196</f>
        <v>0</v>
      </c>
      <c r="H9" s="460">
        <f>+'NEW...Tables 91-112'!B11+'NEW...Tables 91-112'!C11</f>
        <v>96.121136664285061</v>
      </c>
      <c r="I9" s="457">
        <f>+'NEW...Tables 91-112'!B258+'NEW...Tables 91-112'!C258</f>
        <v>0</v>
      </c>
      <c r="J9" s="455">
        <f>+'NEW...Tables 91-112'!B289+'NEW...Tables 91-112'!C289</f>
        <v>0</v>
      </c>
      <c r="K9" s="455">
        <f>+'NEW...Tables 91-112'!B320+'NEW...Tables 91-112'!C320</f>
        <v>83.456419910633556</v>
      </c>
      <c r="L9" s="455">
        <f>+'NEW...Tables 91-112'!B351+'NEW...Tables 91-112'!C351</f>
        <v>0</v>
      </c>
      <c r="M9" s="457">
        <f>+'NEW...Tables 91-112'!B227+'NEW...Tables 91-112'!C227</f>
        <v>83.456419910633556</v>
      </c>
      <c r="N9" s="458">
        <f>+'NEW...Tables 91-112'!B412+'NEW...Tables 91-112'!C412</f>
        <v>0</v>
      </c>
      <c r="O9" s="384">
        <f>+'NEW...Tables 91-112'!B442+'NEW...Tables 91-112'!C442</f>
        <v>0</v>
      </c>
      <c r="P9" s="457">
        <f>+'NEW...Tables 91-112'!B382+'NEW...Tables 91-112'!C382</f>
        <v>0</v>
      </c>
    </row>
    <row r="10" spans="1:33">
      <c r="A10" s="349" t="s">
        <v>888</v>
      </c>
      <c r="B10" s="455">
        <f>+'NEW...Tables 91-112'!B44+'NEW...Tables 91-112'!C44</f>
        <v>0</v>
      </c>
      <c r="C10" s="455">
        <f>+'NEW...Tables 91-112'!B75+'NEW...Tables 91-112'!C75</f>
        <v>0</v>
      </c>
      <c r="D10" s="455">
        <f>+'NEW...Tables 91-112'!B105+'NEW...Tables 91-112'!C105</f>
        <v>0</v>
      </c>
      <c r="E10" s="455">
        <f>+'NEW...Tables 91-112'!B136+'NEW...Tables 91-112'!C136</f>
        <v>0</v>
      </c>
      <c r="F10" s="455">
        <f>+'NEW...Tables 91-112'!B167+'NEW...Tables 91-112'!C167</f>
        <v>0</v>
      </c>
      <c r="G10" s="455">
        <f>+'NEW...Tables 91-112'!B197+'NEW...Tables 91-112'!C197</f>
        <v>0</v>
      </c>
      <c r="H10" s="460">
        <f>+'NEW...Tables 91-112'!B12+'NEW...Tables 91-112'!C12</f>
        <v>0</v>
      </c>
      <c r="I10" s="457">
        <f>+'NEW...Tables 91-112'!B259+'NEW...Tables 91-112'!C259</f>
        <v>73.706982333550442</v>
      </c>
      <c r="J10" s="455">
        <f>+'NEW...Tables 91-112'!B290+'NEW...Tables 91-112'!C290</f>
        <v>73.388293914124176</v>
      </c>
      <c r="K10" s="455">
        <f>+'NEW...Tables 91-112'!B321+'NEW...Tables 91-112'!C321</f>
        <v>0</v>
      </c>
      <c r="L10" s="455">
        <f>+'NEW...Tables 91-112'!B352+'NEW...Tables 91-112'!C352</f>
        <v>70.995271867612303</v>
      </c>
      <c r="M10" s="457">
        <f>+'NEW...Tables 91-112'!B228+'NEW...Tables 91-112'!C228</f>
        <v>73.657746708611569</v>
      </c>
      <c r="N10" s="458">
        <f>+'NEW...Tables 91-112'!B413+'NEW...Tables 91-112'!C413</f>
        <v>0</v>
      </c>
      <c r="O10" s="384">
        <f>+'NEW...Tables 91-112'!B443+'NEW...Tables 91-112'!C443</f>
        <v>0</v>
      </c>
      <c r="P10" s="457">
        <f>+'NEW...Tables 91-112'!B383+'NEW...Tables 91-112'!C383</f>
        <v>0</v>
      </c>
    </row>
    <row r="11" spans="1:33">
      <c r="A11" s="349"/>
      <c r="B11" s="455"/>
      <c r="C11" s="455"/>
      <c r="D11" s="455"/>
      <c r="E11" s="455"/>
      <c r="F11" s="455"/>
      <c r="G11" s="455"/>
      <c r="H11" s="460"/>
      <c r="I11" s="457"/>
      <c r="J11" s="455"/>
      <c r="K11" s="455"/>
      <c r="L11" s="455"/>
      <c r="M11" s="457"/>
      <c r="N11" s="458"/>
      <c r="O11" s="384"/>
      <c r="P11" s="457"/>
    </row>
    <row r="12" spans="1:33">
      <c r="A12" s="349" t="s">
        <v>889</v>
      </c>
      <c r="B12" s="455">
        <f>+'NEW...Tables 91-112'!B46+'NEW...Tables 91-112'!C46</f>
        <v>87.520966876274159</v>
      </c>
      <c r="C12" s="455">
        <f>+'NEW...Tables 91-112'!B77+'NEW...Tables 91-112'!C77</f>
        <v>98.509053884997854</v>
      </c>
      <c r="D12" s="455">
        <f>+'NEW...Tables 91-112'!B107+'NEW...Tables 91-112'!C107</f>
        <v>77.284101369600933</v>
      </c>
      <c r="E12" s="455">
        <f>+'NEW...Tables 91-112'!B138+'NEW...Tables 91-112'!C138</f>
        <v>82.400471335328845</v>
      </c>
      <c r="F12" s="455">
        <f>+'NEW...Tables 91-112'!B169+'NEW...Tables 91-112'!C169</f>
        <v>90.80971692822834</v>
      </c>
      <c r="G12" s="455">
        <f>+'NEW...Tables 91-112'!B199+'NEW...Tables 91-112'!C199</f>
        <v>86.169189654739412</v>
      </c>
      <c r="H12" s="460">
        <f>+'NEW...Tables 91-112'!B14+'NEW...Tables 91-112'!C14</f>
        <v>84.008531112555033</v>
      </c>
      <c r="I12" s="457">
        <f>+'NEW...Tables 91-112'!B261+'NEW...Tables 91-112'!C261</f>
        <v>80.717948923899911</v>
      </c>
      <c r="J12" s="455">
        <f>+'NEW...Tables 91-112'!B292+'NEW...Tables 91-112'!C292</f>
        <v>0</v>
      </c>
      <c r="K12" s="455">
        <f>+'NEW...Tables 91-112'!B323+'NEW...Tables 91-112'!C323</f>
        <v>0</v>
      </c>
      <c r="L12" s="455">
        <f>+'NEW...Tables 91-112'!B354+'NEW...Tables 91-112'!C354</f>
        <v>64.078067093420614</v>
      </c>
      <c r="M12" s="457">
        <f>+'NEW...Tables 91-112'!B230+'NEW...Tables 91-112'!C230</f>
        <v>79.436425505415571</v>
      </c>
      <c r="N12" s="458">
        <f>+'NEW...Tables 91-112'!B415+'NEW...Tables 91-112'!C415</f>
        <v>66.080643318978389</v>
      </c>
      <c r="O12" s="384">
        <f>+'NEW...Tables 91-112'!B445+'NEW...Tables 91-112'!C445</f>
        <v>0</v>
      </c>
      <c r="P12" s="457">
        <f>+'NEW...Tables 91-112'!B385+'NEW...Tables 91-112'!C385</f>
        <v>66.080643318978389</v>
      </c>
    </row>
    <row r="13" spans="1:33">
      <c r="A13" s="349" t="s">
        <v>890</v>
      </c>
      <c r="B13" s="455">
        <f>+'NEW...Tables 91-112'!B47+'NEW...Tables 91-112'!C47</f>
        <v>90.628596654421628</v>
      </c>
      <c r="C13" s="455">
        <f>+'NEW...Tables 91-112'!B78+'NEW...Tables 91-112'!C78</f>
        <v>0</v>
      </c>
      <c r="D13" s="455">
        <f>+'NEW...Tables 91-112'!B108+'NEW...Tables 91-112'!C108</f>
        <v>80.385374317983917</v>
      </c>
      <c r="E13" s="455">
        <f>+'NEW...Tables 91-112'!B139+'NEW...Tables 91-112'!C139</f>
        <v>69.371858158597888</v>
      </c>
      <c r="F13" s="455">
        <f>+'NEW...Tables 91-112'!B170+'NEW...Tables 91-112'!C170</f>
        <v>0</v>
      </c>
      <c r="G13" s="455">
        <f>+'NEW...Tables 91-112'!B200+'NEW...Tables 91-112'!C200</f>
        <v>0</v>
      </c>
      <c r="H13" s="460">
        <f>+'NEW...Tables 91-112'!B15+'NEW...Tables 91-112'!C15</f>
        <v>84.26889010593311</v>
      </c>
      <c r="I13" s="457">
        <f>+'NEW...Tables 91-112'!B262+'NEW...Tables 91-112'!C262</f>
        <v>0</v>
      </c>
      <c r="J13" s="455">
        <f>+'NEW...Tables 91-112'!B293+'NEW...Tables 91-112'!C293</f>
        <v>66.50878457682829</v>
      </c>
      <c r="K13" s="455">
        <f>+'NEW...Tables 91-112'!B324+'NEW...Tables 91-112'!C324</f>
        <v>55.27034275135388</v>
      </c>
      <c r="L13" s="455">
        <f>+'NEW...Tables 91-112'!B355+'NEW...Tables 91-112'!C355</f>
        <v>57.67491842675993</v>
      </c>
      <c r="M13" s="457">
        <f>+'NEW...Tables 91-112'!B231+'NEW...Tables 91-112'!C231</f>
        <v>59.320613268884713</v>
      </c>
      <c r="N13" s="458">
        <f>+'NEW...Tables 91-112'!B416+'NEW...Tables 91-112'!C416</f>
        <v>68.361528547232325</v>
      </c>
      <c r="O13" s="384">
        <f>+'NEW...Tables 91-112'!B446+'NEW...Tables 91-112'!C446</f>
        <v>0</v>
      </c>
      <c r="P13" s="457">
        <f>+'NEW...Tables 91-112'!B386+'NEW...Tables 91-112'!C386</f>
        <v>68.361528547232325</v>
      </c>
    </row>
    <row r="14" spans="1:33">
      <c r="A14" s="349" t="s">
        <v>891</v>
      </c>
      <c r="B14" s="455">
        <f>+'NEW...Tables 91-112'!B48+'NEW...Tables 91-112'!C48</f>
        <v>96.910112359550567</v>
      </c>
      <c r="C14" s="455">
        <f>+'NEW...Tables 91-112'!B79+'NEW...Tables 91-112'!C79</f>
        <v>87.776820581430627</v>
      </c>
      <c r="D14" s="455">
        <f>+'NEW...Tables 91-112'!B109+'NEW...Tables 91-112'!C109</f>
        <v>80.361422086224962</v>
      </c>
      <c r="E14" s="455">
        <f>+'NEW...Tables 91-112'!B140+'NEW...Tables 91-112'!C140</f>
        <v>71.31514311546475</v>
      </c>
      <c r="F14" s="455">
        <f>+'NEW...Tables 91-112'!B171+'NEW...Tables 91-112'!C171</f>
        <v>87.707317073170714</v>
      </c>
      <c r="G14" s="455">
        <f>+'NEW...Tables 91-112'!B201+'NEW...Tables 91-112'!C201</f>
        <v>64.48</v>
      </c>
      <c r="H14" s="460">
        <f>+'NEW...Tables 91-112'!B16+'NEW...Tables 91-112'!C16</f>
        <v>84.326126611231771</v>
      </c>
      <c r="I14" s="457">
        <f>+'NEW...Tables 91-112'!B263+'NEW...Tables 91-112'!C263</f>
        <v>0</v>
      </c>
      <c r="J14" s="455">
        <f>+'NEW...Tables 91-112'!B294+'NEW...Tables 91-112'!C294</f>
        <v>80.120721247605388</v>
      </c>
      <c r="K14" s="455">
        <f>+'NEW...Tables 91-112'!B325+'NEW...Tables 91-112'!C325</f>
        <v>84.076742200206994</v>
      </c>
      <c r="L14" s="455">
        <f>+'NEW...Tables 91-112'!B356+'NEW...Tables 91-112'!C356</f>
        <v>71.19475710095854</v>
      </c>
      <c r="M14" s="457">
        <f>+'NEW...Tables 91-112'!B232+'NEW...Tables 91-112'!C232</f>
        <v>79.896506082261809</v>
      </c>
      <c r="N14" s="458">
        <f>+'NEW...Tables 91-112'!B417+'NEW...Tables 91-112'!C417</f>
        <v>85.049681222156266</v>
      </c>
      <c r="O14" s="384">
        <f>+'NEW...Tables 91-112'!B447+'NEW...Tables 91-112'!C447</f>
        <v>0</v>
      </c>
      <c r="P14" s="457">
        <f>+'NEW...Tables 91-112'!B387+'NEW...Tables 91-112'!C387</f>
        <v>85.049681222156266</v>
      </c>
    </row>
    <row r="15" spans="1:33">
      <c r="A15" s="349" t="s">
        <v>892</v>
      </c>
      <c r="B15" s="455">
        <f>+'NEW...Tables 91-112'!B49+'NEW...Tables 91-112'!C49</f>
        <v>95.786315018315008</v>
      </c>
      <c r="C15" s="455">
        <f>+'NEW...Tables 91-112'!B80+'NEW...Tables 91-112'!C80</f>
        <v>88.746910711329292</v>
      </c>
      <c r="D15" s="455">
        <f>+'NEW...Tables 91-112'!B110+'NEW...Tables 91-112'!C110</f>
        <v>86.647831259150806</v>
      </c>
      <c r="E15" s="455">
        <f>+'NEW...Tables 91-112'!B141+'NEW...Tables 91-112'!C141</f>
        <v>85.0203678663445</v>
      </c>
      <c r="F15" s="455">
        <f>+'NEW...Tables 91-112'!B172+'NEW...Tables 91-112'!C172</f>
        <v>79.385346534653465</v>
      </c>
      <c r="G15" s="455">
        <f>+'NEW...Tables 91-112'!B202+'NEW...Tables 91-112'!C202</f>
        <v>100</v>
      </c>
      <c r="H15" s="460">
        <f>+'NEW...Tables 91-112'!B17+'NEW...Tables 91-112'!C17</f>
        <v>70.480820803698847</v>
      </c>
      <c r="I15" s="457">
        <f>+'NEW...Tables 91-112'!B264+'NEW...Tables 91-112'!C264</f>
        <v>0</v>
      </c>
      <c r="J15" s="455">
        <f>+'NEW...Tables 91-112'!B295+'NEW...Tables 91-112'!C295</f>
        <v>83.107004155617688</v>
      </c>
      <c r="K15" s="455">
        <f>+'NEW...Tables 91-112'!B326+'NEW...Tables 91-112'!C326</f>
        <v>73.611341811706026</v>
      </c>
      <c r="L15" s="455">
        <f>+'NEW...Tables 91-112'!B357+'NEW...Tables 91-112'!C357</f>
        <v>77.083868214236887</v>
      </c>
      <c r="M15" s="457">
        <f>+'NEW...Tables 91-112'!B233+'NEW...Tables 91-112'!C233</f>
        <v>80.983899516966616</v>
      </c>
      <c r="N15" s="458">
        <f>+'NEW...Tables 91-112'!B418+'NEW...Tables 91-112'!C418</f>
        <v>0</v>
      </c>
      <c r="O15" s="384">
        <f>+'NEW...Tables 91-112'!B448+'NEW...Tables 91-112'!C448</f>
        <v>0</v>
      </c>
      <c r="P15" s="457">
        <f>+'NEW...Tables 91-112'!B388+'NEW...Tables 91-112'!C388</f>
        <v>0</v>
      </c>
    </row>
    <row r="16" spans="1:33">
      <c r="A16" s="349"/>
      <c r="B16" s="455"/>
      <c r="C16" s="455"/>
      <c r="D16" s="455"/>
      <c r="E16" s="455"/>
      <c r="F16" s="455"/>
      <c r="G16" s="455"/>
      <c r="H16" s="460"/>
      <c r="I16" s="457"/>
      <c r="J16" s="455"/>
      <c r="K16" s="455"/>
      <c r="L16" s="455"/>
      <c r="M16" s="457"/>
      <c r="N16" s="458"/>
      <c r="O16" s="384"/>
      <c r="P16" s="457"/>
    </row>
    <row r="17" spans="1:25" ht="15.75" customHeight="1">
      <c r="A17" s="349" t="s">
        <v>893</v>
      </c>
      <c r="B17" s="455">
        <f>+'NEW...Tables 91-112'!B51+'NEW...Tables 91-112'!C51</f>
        <v>85.625098143715718</v>
      </c>
      <c r="C17" s="455">
        <f>+'NEW...Tables 91-112'!B82+'NEW...Tables 91-112'!C82</f>
        <v>85.115652932349889</v>
      </c>
      <c r="D17" s="455">
        <f>+'NEW...Tables 91-112'!B112+'NEW...Tables 91-112'!C112</f>
        <v>0</v>
      </c>
      <c r="E17" s="455">
        <f>+'NEW...Tables 91-112'!B143+'NEW...Tables 91-112'!C143</f>
        <v>76.455997803496714</v>
      </c>
      <c r="F17" s="455">
        <f>+'NEW...Tables 91-112'!B174+'NEW...Tables 91-112'!C174</f>
        <v>48.543284080474159</v>
      </c>
      <c r="G17" s="455">
        <f>+'NEW...Tables 91-112'!B204+'NEW...Tables 91-112'!C204</f>
        <v>0</v>
      </c>
      <c r="H17" s="460">
        <f>+'NEW...Tables 91-112'!B19+'NEW...Tables 91-112'!C19</f>
        <v>82.924094254320025</v>
      </c>
      <c r="I17" s="457">
        <f>+'NEW...Tables 91-112'!B266+'NEW...Tables 91-112'!C266</f>
        <v>0</v>
      </c>
      <c r="J17" s="455">
        <f>+'NEW...Tables 91-112'!B297+'NEW...Tables 91-112'!C297</f>
        <v>72.567309086775708</v>
      </c>
      <c r="K17" s="455">
        <f>+'NEW...Tables 91-112'!B328+'NEW...Tables 91-112'!C328</f>
        <v>75.368278474021267</v>
      </c>
      <c r="L17" s="455">
        <f>+'NEW...Tables 91-112'!B359+'NEW...Tables 91-112'!C359</f>
        <v>81.362805195789562</v>
      </c>
      <c r="M17" s="457">
        <f>+'NEW...Tables 91-112'!B235+'NEW...Tables 91-112'!C235</f>
        <v>74.188454449605686</v>
      </c>
      <c r="N17" s="458">
        <f>+'NEW...Tables 91-112'!B420+'NEW...Tables 91-112'!C420</f>
        <v>0</v>
      </c>
      <c r="O17" s="384">
        <f>+'NEW...Tables 91-112'!B450+'NEW...Tables 91-112'!C450</f>
        <v>0</v>
      </c>
      <c r="P17" s="457">
        <f>+'NEW...Tables 91-112'!B390+'NEW...Tables 91-112'!C390</f>
        <v>0</v>
      </c>
    </row>
    <row r="18" spans="1:25" ht="15.75" customHeight="1">
      <c r="A18" s="349" t="s">
        <v>894</v>
      </c>
      <c r="B18" s="455">
        <f>+'NEW...Tables 91-112'!B52+'NEW...Tables 91-112'!C52</f>
        <v>86.544931189564636</v>
      </c>
      <c r="C18" s="455">
        <f>+'NEW...Tables 91-112'!B83+'NEW...Tables 91-112'!C83</f>
        <v>79.958624744352164</v>
      </c>
      <c r="D18" s="455">
        <f>+'NEW...Tables 91-112'!B113+'NEW...Tables 91-112'!C113</f>
        <v>85.010303817491817</v>
      </c>
      <c r="E18" s="455">
        <f>+'NEW...Tables 91-112'!B144+'NEW...Tables 91-112'!C144</f>
        <v>66.707973075731545</v>
      </c>
      <c r="F18" s="455">
        <f>+'NEW...Tables 91-112'!B175+'NEW...Tables 91-112'!C175</f>
        <v>76.398818886378592</v>
      </c>
      <c r="G18" s="455">
        <f>+'NEW...Tables 91-112'!B205+'NEW...Tables 91-112'!C205</f>
        <v>93.672756870220823</v>
      </c>
      <c r="H18" s="460">
        <f>+'NEW...Tables 91-112'!B20+'NEW...Tables 91-112'!C20</f>
        <v>84.346197611567177</v>
      </c>
      <c r="I18" s="457">
        <f>+'NEW...Tables 91-112'!B267+'NEW...Tables 91-112'!C267</f>
        <v>0</v>
      </c>
      <c r="J18" s="455">
        <f>+'NEW...Tables 91-112'!B298+'NEW...Tables 91-112'!C298</f>
        <v>42.37546090076939</v>
      </c>
      <c r="K18" s="455">
        <f>+'NEW...Tables 91-112'!B329+'NEW...Tables 91-112'!C329</f>
        <v>35.221832911508208</v>
      </c>
      <c r="L18" s="455">
        <f>+'NEW...Tables 91-112'!B360+'NEW...Tables 91-112'!C360</f>
        <v>32.694126589263377</v>
      </c>
      <c r="M18" s="457">
        <f>+'NEW...Tables 91-112'!B236+'NEW...Tables 91-112'!C236</f>
        <v>38.077777971470098</v>
      </c>
      <c r="N18" s="458">
        <f>+'NEW...Tables 91-112'!B421+'NEW...Tables 91-112'!C421</f>
        <v>0</v>
      </c>
      <c r="O18" s="384">
        <f>+'NEW...Tables 91-112'!B451+'NEW...Tables 91-112'!C451</f>
        <v>0</v>
      </c>
      <c r="P18" s="457">
        <f>+'NEW...Tables 91-112'!B391+'NEW...Tables 91-112'!C391</f>
        <v>0</v>
      </c>
    </row>
    <row r="19" spans="1:25" ht="15.75" customHeight="1">
      <c r="A19" s="349" t="s">
        <v>895</v>
      </c>
      <c r="B19" s="455">
        <f>+'NEW...Tables 91-112'!B53+'NEW...Tables 91-112'!C53</f>
        <v>86.498716996817222</v>
      </c>
      <c r="C19" s="455">
        <f>+'NEW...Tables 91-112'!B84+'NEW...Tables 91-112'!C84</f>
        <v>0</v>
      </c>
      <c r="D19" s="455">
        <f>+'NEW...Tables 91-112'!B114+'NEW...Tables 91-112'!C114</f>
        <v>76.055023854549646</v>
      </c>
      <c r="E19" s="455">
        <f>+'NEW...Tables 91-112'!B145+'NEW...Tables 91-112'!C145</f>
        <v>71.347215326655189</v>
      </c>
      <c r="F19" s="455">
        <f>+'NEW...Tables 91-112'!B176+'NEW...Tables 91-112'!C176</f>
        <v>76.026053734117951</v>
      </c>
      <c r="G19" s="455">
        <f>+'NEW...Tables 91-112'!B206+'NEW...Tables 91-112'!C206</f>
        <v>77.024894621176642</v>
      </c>
      <c r="H19" s="460">
        <f>+'NEW...Tables 91-112'!B21+'NEW...Tables 91-112'!C21</f>
        <v>80.998130170105185</v>
      </c>
      <c r="I19" s="457">
        <f>+'NEW...Tables 91-112'!B268+'NEW...Tables 91-112'!C268</f>
        <v>64.908159428004907</v>
      </c>
      <c r="J19" s="455">
        <f>+'NEW...Tables 91-112'!B299+'NEW...Tables 91-112'!C299</f>
        <v>70.748703263853429</v>
      </c>
      <c r="K19" s="455">
        <f>+'NEW...Tables 91-112'!B330+'NEW...Tables 91-112'!C330</f>
        <v>70.485292526033945</v>
      </c>
      <c r="L19" s="455">
        <f>+'NEW...Tables 91-112'!B361+'NEW...Tables 91-112'!C361</f>
        <v>69.360679647959302</v>
      </c>
      <c r="M19" s="457">
        <f>+'NEW...Tables 91-112'!B237+'NEW...Tables 91-112'!C237</f>
        <v>69.421409400591841</v>
      </c>
      <c r="N19" s="458">
        <f>+'NEW...Tables 91-112'!B422+'NEW...Tables 91-112'!C422</f>
        <v>0</v>
      </c>
      <c r="O19" s="384">
        <f>+'NEW...Tables 91-112'!B452+'NEW...Tables 91-112'!C452</f>
        <v>0</v>
      </c>
      <c r="P19" s="457">
        <f>+'NEW...Tables 91-112'!B392+'NEW...Tables 91-112'!C392</f>
        <v>0</v>
      </c>
    </row>
    <row r="20" spans="1:25" ht="15.75" customHeight="1">
      <c r="A20" s="349" t="s">
        <v>896</v>
      </c>
      <c r="B20" s="455">
        <f>+'NEW...Tables 91-112'!B54+'NEW...Tables 91-112'!C54</f>
        <v>91.244197861158014</v>
      </c>
      <c r="C20" s="455">
        <f>+'NEW...Tables 91-112'!B85+'NEW...Tables 91-112'!C85</f>
        <v>0</v>
      </c>
      <c r="D20" s="455">
        <f>+'NEW...Tables 91-112'!B115+'NEW...Tables 91-112'!C115</f>
        <v>93.085775641001987</v>
      </c>
      <c r="E20" s="455">
        <f>+'NEW...Tables 91-112'!B146+'NEW...Tables 91-112'!C146</f>
        <v>0</v>
      </c>
      <c r="F20" s="455">
        <f>+'NEW...Tables 91-112'!B177+'NEW...Tables 91-112'!C177</f>
        <v>88.307889808693815</v>
      </c>
      <c r="G20" s="455">
        <f>+'NEW...Tables 91-112'!B207+'NEW...Tables 91-112'!C207</f>
        <v>85.367615730878242</v>
      </c>
      <c r="H20" s="460">
        <f>+'NEW...Tables 91-112'!B22+'NEW...Tables 91-112'!C22</f>
        <v>90.312660735195948</v>
      </c>
      <c r="I20" s="457">
        <f>+'NEW...Tables 91-112'!B269+'NEW...Tables 91-112'!C269</f>
        <v>0</v>
      </c>
      <c r="J20" s="455">
        <f>+'NEW...Tables 91-112'!B300+'NEW...Tables 91-112'!C300</f>
        <v>68.829817678548011</v>
      </c>
      <c r="K20" s="455">
        <f>+'NEW...Tables 91-112'!B331+'NEW...Tables 91-112'!C331</f>
        <v>62.755016080661647</v>
      </c>
      <c r="L20" s="455">
        <f>+'NEW...Tables 91-112'!B362+'NEW...Tables 91-112'!C362</f>
        <v>78.395028437965408</v>
      </c>
      <c r="M20" s="457">
        <f>+'NEW...Tables 91-112'!B238+'NEW...Tables 91-112'!C238</f>
        <v>68.313703684982045</v>
      </c>
      <c r="N20" s="458">
        <f>+'NEW...Tables 91-112'!B423+'NEW...Tables 91-112'!C423</f>
        <v>0</v>
      </c>
      <c r="O20" s="384">
        <f>+'NEW...Tables 91-112'!B453+'NEW...Tables 91-112'!C453</f>
        <v>0</v>
      </c>
      <c r="P20" s="457">
        <f>+'NEW...Tables 91-112'!B393+'NEW...Tables 91-112'!C393</f>
        <v>0</v>
      </c>
    </row>
    <row r="21" spans="1:25" ht="15.75" customHeight="1">
      <c r="A21" s="349"/>
      <c r="B21" s="455"/>
      <c r="C21" s="455"/>
      <c r="D21" s="455"/>
      <c r="E21" s="455"/>
      <c r="F21" s="455"/>
      <c r="G21" s="455"/>
      <c r="H21" s="460"/>
      <c r="I21" s="457"/>
      <c r="J21" s="455"/>
      <c r="K21" s="455"/>
      <c r="L21" s="455"/>
      <c r="M21" s="457"/>
      <c r="N21" s="458"/>
      <c r="O21" s="384"/>
      <c r="P21" s="457"/>
    </row>
    <row r="22" spans="1:25" ht="15.75" customHeight="1">
      <c r="A22" s="349" t="s">
        <v>897</v>
      </c>
      <c r="B22" s="455">
        <f>+'NEW...Tables 91-112'!B56+'NEW...Tables 91-112'!C56</f>
        <v>85.733926123293088</v>
      </c>
      <c r="C22" s="455">
        <f>+'NEW...Tables 91-112'!B87+'NEW...Tables 91-112'!C87</f>
        <v>79.36360658763212</v>
      </c>
      <c r="D22" s="455">
        <f>+'NEW...Tables 91-112'!B117+'NEW...Tables 91-112'!C117</f>
        <v>71.352968067366589</v>
      </c>
      <c r="E22" s="455">
        <f>+'NEW...Tables 91-112'!B148+'NEW...Tables 91-112'!C148</f>
        <v>0</v>
      </c>
      <c r="F22" s="455">
        <f>+'NEW...Tables 91-112'!B179+'NEW...Tables 91-112'!C179</f>
        <v>84.7608102109443</v>
      </c>
      <c r="G22" s="455">
        <f>+'NEW...Tables 91-112'!B209+'NEW...Tables 91-112'!C209</f>
        <v>0</v>
      </c>
      <c r="H22" s="460">
        <f>+'NEW...Tables 91-112'!B24+'NEW...Tables 91-112'!C24</f>
        <v>79.803443696769961</v>
      </c>
      <c r="I22" s="457">
        <f>+'NEW...Tables 91-112'!B271+'NEW...Tables 91-112'!C271</f>
        <v>0</v>
      </c>
      <c r="J22" s="455">
        <f>+'NEW...Tables 91-112'!B302+'NEW...Tables 91-112'!C302</f>
        <v>73.87248420743353</v>
      </c>
      <c r="K22" s="455">
        <f>+'NEW...Tables 91-112'!B333+'NEW...Tables 91-112'!C333</f>
        <v>72.399884525150341</v>
      </c>
      <c r="L22" s="455">
        <f>+'NEW...Tables 91-112'!B364+'NEW...Tables 91-112'!C364</f>
        <v>72.291745419095548</v>
      </c>
      <c r="M22" s="457">
        <f>+'NEW...Tables 91-112'!B240+'NEW...Tables 91-112'!C240</f>
        <v>73.169830696006102</v>
      </c>
      <c r="N22" s="458">
        <f>+'NEW...Tables 91-112'!B425+'NEW...Tables 91-112'!C425</f>
        <v>0</v>
      </c>
      <c r="O22" s="384">
        <f>+'NEW...Tables 91-112'!B455+'NEW...Tables 91-112'!C455</f>
        <v>0</v>
      </c>
      <c r="P22" s="457">
        <f>+'NEW...Tables 91-112'!B395+'NEW...Tables 91-112'!C395</f>
        <v>0</v>
      </c>
    </row>
    <row r="23" spans="1:25" ht="15.75" customHeight="1">
      <c r="A23" s="349" t="s">
        <v>898</v>
      </c>
      <c r="B23" s="455">
        <f>+'NEW...Tables 91-112'!B57+'NEW...Tables 91-112'!C57</f>
        <v>83.794637920404725</v>
      </c>
      <c r="C23" s="455">
        <f>+'NEW...Tables 91-112'!B88+'NEW...Tables 91-112'!C88</f>
        <v>85.890558665468333</v>
      </c>
      <c r="D23" s="455">
        <f>+'NEW...Tables 91-112'!B118+'NEW...Tables 91-112'!C118</f>
        <v>77.569778002802451</v>
      </c>
      <c r="E23" s="455">
        <f>+'NEW...Tables 91-112'!B149+'NEW...Tables 91-112'!C149</f>
        <v>48.365912334899186</v>
      </c>
      <c r="F23" s="455">
        <f>+'NEW...Tables 91-112'!B180+'NEW...Tables 91-112'!C180</f>
        <v>62.654299587788891</v>
      </c>
      <c r="G23" s="455">
        <f>+'NEW...Tables 91-112'!B210+'NEW...Tables 91-112'!C210</f>
        <v>0</v>
      </c>
      <c r="H23" s="460">
        <f>+'NEW...Tables 91-112'!B25+'NEW...Tables 91-112'!C25</f>
        <v>80.996943644689551</v>
      </c>
      <c r="I23" s="457">
        <f>+'NEW...Tables 91-112'!B272+'NEW...Tables 91-112'!C272</f>
        <v>75.460314827491018</v>
      </c>
      <c r="J23" s="455">
        <f>+'NEW...Tables 91-112'!B303+'NEW...Tables 91-112'!C303</f>
        <v>72.62674268865355</v>
      </c>
      <c r="K23" s="455">
        <f>+'NEW...Tables 91-112'!B334+'NEW...Tables 91-112'!C334</f>
        <v>71.045953755269693</v>
      </c>
      <c r="L23" s="455">
        <f>+'NEW...Tables 91-112'!B365+'NEW...Tables 91-112'!C365</f>
        <v>63.496304979944604</v>
      </c>
      <c r="M23" s="457">
        <f>+'NEW...Tables 91-112'!B241+'NEW...Tables 91-112'!C241</f>
        <v>72.162621199734602</v>
      </c>
      <c r="N23" s="458">
        <f>+'NEW...Tables 91-112'!B426+'NEW...Tables 91-112'!C426</f>
        <v>0</v>
      </c>
      <c r="O23" s="384">
        <f>+'NEW...Tables 91-112'!B456+'NEW...Tables 91-112'!C456</f>
        <v>0</v>
      </c>
      <c r="P23" s="457">
        <f>+'NEW...Tables 91-112'!B396+'NEW...Tables 91-112'!C396</f>
        <v>0</v>
      </c>
    </row>
    <row r="24" spans="1:25" ht="15.75" customHeight="1">
      <c r="A24" s="349" t="s">
        <v>899</v>
      </c>
      <c r="B24" s="455">
        <f>+'NEW...Tables 91-112'!B58+'NEW...Tables 91-112'!C58</f>
        <v>90.492975195105501</v>
      </c>
      <c r="C24" s="455">
        <f>+'NEW...Tables 91-112'!B89+'NEW...Tables 91-112'!C89</f>
        <v>99.650864392190314</v>
      </c>
      <c r="D24" s="455">
        <f>+'NEW...Tables 91-112'!B119+'NEW...Tables 91-112'!C119</f>
        <v>91.516391479486458</v>
      </c>
      <c r="E24" s="455">
        <f>+'NEW...Tables 91-112'!B150+'NEW...Tables 91-112'!C150</f>
        <v>0</v>
      </c>
      <c r="F24" s="455">
        <f>+'NEW...Tables 91-112'!B181+'NEW...Tables 91-112'!C181</f>
        <v>99.999999999999986</v>
      </c>
      <c r="G24" s="455">
        <f>+'NEW...Tables 91-112'!B211+'NEW...Tables 91-112'!C211</f>
        <v>77.384827240861284</v>
      </c>
      <c r="H24" s="460">
        <f>+'NEW...Tables 91-112'!B26+'NEW...Tables 91-112'!C26</f>
        <v>91.273230766982351</v>
      </c>
      <c r="I24" s="457">
        <f>+'NEW...Tables 91-112'!B273+'NEW...Tables 91-112'!C273</f>
        <v>0</v>
      </c>
      <c r="J24" s="455">
        <f>+'NEW...Tables 91-112'!B304+'NEW...Tables 91-112'!C304</f>
        <v>72.114313154508679</v>
      </c>
      <c r="K24" s="455">
        <f>+'NEW...Tables 91-112'!B335+'NEW...Tables 91-112'!C335</f>
        <v>69.747355501444247</v>
      </c>
      <c r="L24" s="455">
        <f>+'NEW...Tables 91-112'!B366+'NEW...Tables 91-112'!C366</f>
        <v>60.641176170299659</v>
      </c>
      <c r="M24" s="457">
        <f>+'NEW...Tables 91-112'!B242+'NEW...Tables 91-112'!C242</f>
        <v>70.079157530909313</v>
      </c>
      <c r="N24" s="458">
        <f>+'NEW...Tables 91-112'!B427+'NEW...Tables 91-112'!C427</f>
        <v>0</v>
      </c>
      <c r="O24" s="384">
        <f>+'NEW...Tables 91-112'!B457+'NEW...Tables 91-112'!C457</f>
        <v>0</v>
      </c>
      <c r="P24" s="457">
        <f>+'NEW...Tables 91-112'!B397+'NEW...Tables 91-112'!C397</f>
        <v>0</v>
      </c>
    </row>
    <row r="25" spans="1:25" ht="15.75" customHeight="1">
      <c r="A25" s="355" t="s">
        <v>900</v>
      </c>
      <c r="B25" s="461">
        <f>+'NEW...Tables 91-112'!B59+'NEW...Tables 91-112'!C59</f>
        <v>88.461367526868855</v>
      </c>
      <c r="C25" s="461">
        <f>+'NEW...Tables 91-112'!B90+'NEW...Tables 91-112'!C90</f>
        <v>0</v>
      </c>
      <c r="D25" s="461">
        <f>+'NEW...Tables 91-112'!B120+'NEW...Tables 91-112'!C120</f>
        <v>83.259485437041803</v>
      </c>
      <c r="E25" s="461">
        <f>+'NEW...Tables 91-112'!B151+'NEW...Tables 91-112'!C151</f>
        <v>0</v>
      </c>
      <c r="F25" s="461">
        <f>+'NEW...Tables 91-112'!B182+'NEW...Tables 91-112'!C182</f>
        <v>86.780231114381252</v>
      </c>
      <c r="G25" s="461">
        <f>+'NEW...Tables 91-112'!B212+'NEW...Tables 91-112'!C212</f>
        <v>74.399313339620193</v>
      </c>
      <c r="H25" s="462">
        <f>+'NEW...Tables 91-112'!B27+'NEW...Tables 91-112'!C27</f>
        <v>85.33570398653859</v>
      </c>
      <c r="I25" s="463">
        <f>+'NEW...Tables 91-112'!B274+'NEW...Tables 91-112'!C274</f>
        <v>74.723465894126932</v>
      </c>
      <c r="J25" s="461">
        <f>+'NEW...Tables 91-112'!B305+'NEW...Tables 91-112'!C305</f>
        <v>0</v>
      </c>
      <c r="K25" s="461">
        <f>+'NEW...Tables 91-112'!B336+'NEW...Tables 91-112'!C336</f>
        <v>0</v>
      </c>
      <c r="L25" s="461">
        <f>+'NEW...Tables 91-112'!B367+'NEW...Tables 91-112'!C367</f>
        <v>72.174156593378441</v>
      </c>
      <c r="M25" s="463">
        <f>+'NEW...Tables 91-112'!B243+'NEW...Tables 91-112'!C243</f>
        <v>72.779298721799222</v>
      </c>
      <c r="N25" s="465">
        <f>+'NEW...Tables 91-112'!B428+'NEW...Tables 91-112'!C428</f>
        <v>0</v>
      </c>
      <c r="O25" s="394">
        <f>+'NEW...Tables 91-112'!B458+'NEW...Tables 91-112'!C458</f>
        <v>0</v>
      </c>
      <c r="P25" s="463">
        <f>+'NEW...Tables 91-112'!B398+'NEW...Tables 91-112'!C398</f>
        <v>0</v>
      </c>
      <c r="R25" s="479"/>
      <c r="S25" s="479"/>
      <c r="T25" s="479"/>
      <c r="U25" s="488"/>
      <c r="V25" s="488"/>
      <c r="W25" s="488"/>
    </row>
    <row r="26" spans="1:25" s="396" customFormat="1" ht="29.25" customHeight="1">
      <c r="A26" s="497" t="s">
        <v>999</v>
      </c>
      <c r="B26" s="497"/>
      <c r="C26" s="497"/>
      <c r="D26" s="497"/>
      <c r="E26" s="497"/>
      <c r="F26" s="497"/>
      <c r="G26" s="497"/>
      <c r="H26" s="497"/>
      <c r="I26" s="497"/>
      <c r="J26" s="497"/>
      <c r="K26" s="497"/>
      <c r="L26" s="497"/>
      <c r="M26" s="497"/>
      <c r="N26" s="497"/>
      <c r="O26" s="497"/>
      <c r="P26" s="497"/>
    </row>
    <row r="27" spans="1:25" s="396" customFormat="1" ht="11.25"/>
    <row r="28" spans="1:25" s="396" customFormat="1" ht="11.25">
      <c r="M28" s="466"/>
      <c r="P28" s="402" t="s">
        <v>1007</v>
      </c>
    </row>
    <row r="29" spans="1:25" ht="18">
      <c r="A29" s="503" t="s">
        <v>986</v>
      </c>
      <c r="B29" s="503"/>
      <c r="C29" s="503"/>
      <c r="D29" s="503"/>
      <c r="E29" s="503"/>
      <c r="F29" s="503"/>
      <c r="G29" s="503"/>
      <c r="H29" s="503"/>
      <c r="I29" s="503"/>
      <c r="J29" s="503"/>
      <c r="K29" s="503"/>
      <c r="L29" s="503"/>
      <c r="M29" s="503"/>
      <c r="N29" s="503"/>
      <c r="O29" s="503"/>
      <c r="P29" s="503"/>
    </row>
    <row r="30" spans="1:25" s="349" customFormat="1" ht="12.75">
      <c r="A30" s="350"/>
      <c r="B30" s="346"/>
      <c r="C30" s="346"/>
      <c r="D30" s="346"/>
      <c r="E30" s="346"/>
      <c r="F30" s="346"/>
      <c r="G30" s="346"/>
      <c r="H30" s="346"/>
      <c r="I30" s="346"/>
      <c r="J30" s="346"/>
      <c r="K30" s="346"/>
      <c r="L30" s="346"/>
      <c r="M30" s="346"/>
    </row>
    <row r="31" spans="1:25" ht="15.75">
      <c r="A31" s="507" t="s">
        <v>1005</v>
      </c>
      <c r="B31" s="507"/>
      <c r="C31" s="507"/>
      <c r="D31" s="507"/>
      <c r="E31" s="507"/>
      <c r="F31" s="507"/>
      <c r="G31" s="507"/>
      <c r="H31" s="507"/>
      <c r="I31" s="507"/>
      <c r="J31" s="507"/>
      <c r="K31" s="507"/>
      <c r="L31" s="507"/>
      <c r="M31" s="507"/>
      <c r="N31" s="507"/>
      <c r="O31" s="507"/>
      <c r="P31" s="507"/>
      <c r="Q31" s="349"/>
      <c r="R31" s="450"/>
      <c r="S31" s="349"/>
      <c r="T31" s="349"/>
      <c r="U31" s="349"/>
      <c r="V31" s="349"/>
      <c r="W31" s="349"/>
      <c r="X31" s="349"/>
      <c r="Y31" s="349"/>
    </row>
    <row r="32" spans="1:25" s="349" customFormat="1" ht="9.75" customHeight="1">
      <c r="A32" s="350"/>
      <c r="B32" s="346"/>
      <c r="C32" s="346"/>
      <c r="D32" s="346"/>
      <c r="E32" s="346"/>
      <c r="F32" s="346"/>
      <c r="G32" s="346"/>
      <c r="H32" s="346"/>
      <c r="I32" s="346"/>
      <c r="J32" s="346"/>
      <c r="K32" s="346"/>
      <c r="L32" s="346"/>
      <c r="M32" s="346"/>
    </row>
    <row r="33" spans="1:39" s="450" customFormat="1" ht="18" customHeight="1">
      <c r="A33" s="484"/>
      <c r="B33" s="361" t="s">
        <v>784</v>
      </c>
      <c r="C33" s="361"/>
      <c r="D33" s="361"/>
      <c r="E33" s="361"/>
      <c r="F33" s="361"/>
      <c r="G33" s="361"/>
      <c r="H33" s="373"/>
      <c r="I33" s="372" t="s">
        <v>787</v>
      </c>
      <c r="J33" s="361"/>
      <c r="K33" s="361"/>
      <c r="L33" s="361"/>
      <c r="M33" s="361"/>
      <c r="N33" s="372" t="s">
        <v>803</v>
      </c>
      <c r="O33" s="361"/>
      <c r="P33" s="361"/>
      <c r="Q33" s="490" t="s">
        <v>1000</v>
      </c>
      <c r="R33" s="491"/>
      <c r="S33" s="491"/>
    </row>
    <row r="34" spans="1:39" s="454" customFormat="1" ht="26.25" customHeight="1">
      <c r="A34" s="485"/>
      <c r="B34" s="367">
        <v>1</v>
      </c>
      <c r="C34" s="367">
        <v>2</v>
      </c>
      <c r="D34" s="367">
        <v>3</v>
      </c>
      <c r="E34" s="367">
        <v>4</v>
      </c>
      <c r="F34" s="367">
        <v>5</v>
      </c>
      <c r="G34" s="367">
        <v>6</v>
      </c>
      <c r="H34" s="486" t="s">
        <v>998</v>
      </c>
      <c r="I34" s="487" t="s">
        <v>983</v>
      </c>
      <c r="J34" s="367">
        <v>1</v>
      </c>
      <c r="K34" s="367">
        <v>2</v>
      </c>
      <c r="L34" s="367">
        <v>3</v>
      </c>
      <c r="M34" s="366" t="s">
        <v>984</v>
      </c>
      <c r="N34" s="366">
        <v>1</v>
      </c>
      <c r="O34" s="367">
        <v>2</v>
      </c>
      <c r="P34" s="366" t="s">
        <v>984</v>
      </c>
      <c r="Q34" s="490" t="s">
        <v>1001</v>
      </c>
      <c r="R34" s="490" t="s">
        <v>1002</v>
      </c>
      <c r="S34" s="490" t="s">
        <v>883</v>
      </c>
    </row>
    <row r="35" spans="1:39" ht="15.75" customHeight="1">
      <c r="A35" s="349" t="s">
        <v>885</v>
      </c>
      <c r="B35" s="455">
        <f>+'NEW...Tables 91-112'!D41</f>
        <v>8.2804599598529869</v>
      </c>
      <c r="C35" s="455">
        <f>+'NEW...Tables 91-112'!D72</f>
        <v>20.065456684487515</v>
      </c>
      <c r="D35" s="455">
        <f>+'NEW...Tables 91-112'!D102</f>
        <v>19.032940615785964</v>
      </c>
      <c r="E35" s="455">
        <f>+'NEW...Tables 91-112'!D133</f>
        <v>17.128154564492863</v>
      </c>
      <c r="F35" s="455">
        <f>+'NEW...Tables 91-112'!D164</f>
        <v>10.159838774161438</v>
      </c>
      <c r="G35" s="455">
        <f>+'NEW...Tables 91-112'!D194</f>
        <v>77.111094531075125</v>
      </c>
      <c r="H35" s="460">
        <f>+'NEW...Tables 91-112'!D9</f>
        <v>14.896151788762639</v>
      </c>
      <c r="I35" s="457">
        <f>+'NEW...Tables 91-112'!D256</f>
        <v>0</v>
      </c>
      <c r="J35" s="455">
        <f>+'NEW...Tables 91-112'!D287</f>
        <v>34.137313497830831</v>
      </c>
      <c r="K35" s="455">
        <f>+'NEW...Tables 91-112'!D318</f>
        <v>21.694217790795214</v>
      </c>
      <c r="L35" s="455">
        <f>+'NEW...Tables 91-112'!D349</f>
        <v>34.484340574247128</v>
      </c>
      <c r="M35" s="457">
        <f>+'NEW...Tables 91-112'!D225</f>
        <v>27.180510844236217</v>
      </c>
      <c r="N35" s="458">
        <f>+'NEW...Tables 91-112'!D410</f>
        <v>8.2436830728713755</v>
      </c>
      <c r="O35" s="384">
        <f>+'NEW...Tables 91-112'!D440</f>
        <v>14.244355671259932</v>
      </c>
      <c r="P35" s="457">
        <f>+'NEW...Tables 91-112'!D380</f>
        <v>11.396464914452817</v>
      </c>
      <c r="Q35" s="492">
        <f>+'NEW...Tables 87-90'!H35-'OLD...Tables'!H34</f>
        <v>1.247071536428674</v>
      </c>
      <c r="R35" s="492">
        <f>+'NEW...Tables 87-90'!M35-'OLD...Tables'!M34</f>
        <v>2.9361989527791863</v>
      </c>
      <c r="S35" s="492">
        <f>+'NEW...Tables 87-90'!P35-'OLD...Tables'!P34</f>
        <v>0.38768262745982263</v>
      </c>
      <c r="T35" s="384"/>
      <c r="U35" s="493"/>
      <c r="V35" s="493"/>
      <c r="W35" s="493"/>
      <c r="X35" s="349"/>
      <c r="Y35" s="384"/>
      <c r="Z35" s="384"/>
      <c r="AA35" s="384"/>
      <c r="AC35" s="349"/>
      <c r="AD35" s="384"/>
      <c r="AE35" s="384"/>
      <c r="AF35" s="384"/>
      <c r="AG35" s="493"/>
      <c r="AH35" s="493"/>
      <c r="AI35" s="493"/>
      <c r="AJ35" s="349"/>
      <c r="AK35" s="384"/>
      <c r="AL35" s="384"/>
      <c r="AM35" s="384"/>
    </row>
    <row r="36" spans="1:39" ht="15.75" customHeight="1">
      <c r="A36" s="349" t="s">
        <v>886</v>
      </c>
      <c r="B36" s="455">
        <f>+'NEW...Tables 91-112'!D42</f>
        <v>8.6561428056301217</v>
      </c>
      <c r="C36" s="455">
        <f>+'NEW...Tables 91-112'!D73</f>
        <v>35.028051001821495</v>
      </c>
      <c r="D36" s="455">
        <f>+'NEW...Tables 91-112'!D103</f>
        <v>21.65707773613509</v>
      </c>
      <c r="E36" s="455">
        <f>+'NEW...Tables 91-112'!D134</f>
        <v>18.39051505533444</v>
      </c>
      <c r="F36" s="455">
        <f>+'NEW...Tables 91-112'!D165</f>
        <v>23.697367709853523</v>
      </c>
      <c r="G36" s="455">
        <f>+'NEW...Tables 91-112'!D195</f>
        <v>22.148047523556937</v>
      </c>
      <c r="H36" s="460">
        <f>+'NEW...Tables 91-112'!D10</f>
        <v>18.886067723092502</v>
      </c>
      <c r="I36" s="457">
        <f>+'NEW...Tables 91-112'!D257</f>
        <v>0</v>
      </c>
      <c r="J36" s="455">
        <f>+'NEW...Tables 91-112'!D288</f>
        <v>30.639119661856874</v>
      </c>
      <c r="K36" s="455">
        <f>+'NEW...Tables 91-112'!D319</f>
        <v>25.192337981753642</v>
      </c>
      <c r="L36" s="455">
        <f>+'NEW...Tables 91-112'!D350</f>
        <v>25.913227021622554</v>
      </c>
      <c r="M36" s="457">
        <f>+'NEW...Tables 91-112'!D226</f>
        <v>27.21435338179058</v>
      </c>
      <c r="N36" s="458">
        <f>+'NEW...Tables 91-112'!D411</f>
        <v>0</v>
      </c>
      <c r="O36" s="384">
        <f>+'NEW...Tables 91-112'!D441</f>
        <v>0</v>
      </c>
      <c r="P36" s="457">
        <f>+'NEW...Tables 91-112'!D381</f>
        <v>0</v>
      </c>
      <c r="Q36" s="492">
        <f>+'NEW...Tables 87-90'!H36-'OLD...Tables'!H35</f>
        <v>0.56671106596923337</v>
      </c>
      <c r="R36" s="492">
        <f>+'NEW...Tables 87-90'!M36-'OLD...Tables'!M35</f>
        <v>0.26546267022569836</v>
      </c>
      <c r="S36" s="492">
        <f>+'NEW...Tables 87-90'!P36-'OLD...Tables'!P35</f>
        <v>0</v>
      </c>
      <c r="T36" s="384"/>
      <c r="U36" s="493"/>
      <c r="V36" s="493"/>
      <c r="W36" s="493"/>
      <c r="X36" s="349"/>
      <c r="Y36" s="384"/>
      <c r="Z36" s="384"/>
      <c r="AA36" s="384"/>
      <c r="AC36" s="349"/>
      <c r="AD36" s="384"/>
      <c r="AE36" s="384"/>
      <c r="AF36" s="384"/>
      <c r="AG36" s="493"/>
      <c r="AH36" s="493"/>
      <c r="AI36" s="493"/>
      <c r="AJ36" s="349"/>
      <c r="AK36" s="384"/>
      <c r="AL36" s="384"/>
      <c r="AM36" s="384"/>
    </row>
    <row r="37" spans="1:39" ht="15.75" customHeight="1">
      <c r="A37" s="349" t="s">
        <v>887</v>
      </c>
      <c r="B37" s="455">
        <f>+'NEW...Tables 91-112'!D43</f>
        <v>3.6009248950929176</v>
      </c>
      <c r="C37" s="455">
        <f>+'NEW...Tables 91-112'!D74</f>
        <v>0</v>
      </c>
      <c r="D37" s="455">
        <f>+'NEW...Tables 91-112'!D104</f>
        <v>5.1986499125696399</v>
      </c>
      <c r="E37" s="455">
        <f>+'NEW...Tables 91-112'!D135</f>
        <v>0</v>
      </c>
      <c r="F37" s="455">
        <f>+'NEW...Tables 91-112'!D166</f>
        <v>0</v>
      </c>
      <c r="G37" s="455">
        <f>+'NEW...Tables 91-112'!D196</f>
        <v>0</v>
      </c>
      <c r="H37" s="460">
        <f>+'NEW...Tables 91-112'!D11</f>
        <v>3.8788633357149425</v>
      </c>
      <c r="I37" s="457">
        <f>+'NEW...Tables 91-112'!D258</f>
        <v>0</v>
      </c>
      <c r="J37" s="455">
        <f>+'NEW...Tables 91-112'!D289</f>
        <v>0</v>
      </c>
      <c r="K37" s="455">
        <f>+'NEW...Tables 91-112'!D320</f>
        <v>16.543580089366436</v>
      </c>
      <c r="L37" s="455">
        <f>+'NEW...Tables 91-112'!D351</f>
        <v>0</v>
      </c>
      <c r="M37" s="457">
        <f>+'NEW...Tables 91-112'!D227</f>
        <v>16.543580089366436</v>
      </c>
      <c r="N37" s="458">
        <f>+'NEW...Tables 91-112'!D412</f>
        <v>0</v>
      </c>
      <c r="O37" s="384">
        <f>+'NEW...Tables 91-112'!D442</f>
        <v>0</v>
      </c>
      <c r="P37" s="457">
        <f>+'NEW...Tables 91-112'!D382</f>
        <v>0</v>
      </c>
      <c r="Q37" s="492">
        <f>+'NEW...Tables 87-90'!H37-'OLD...Tables'!H36</f>
        <v>0.35651402580063829</v>
      </c>
      <c r="R37" s="492">
        <f>+'NEW...Tables 87-90'!M37-'OLD...Tables'!M36</f>
        <v>2.5993584250000197</v>
      </c>
      <c r="S37" s="492">
        <f>+'NEW...Tables 87-90'!P37-'OLD...Tables'!P36</f>
        <v>0</v>
      </c>
      <c r="T37" s="384"/>
      <c r="U37" s="493"/>
      <c r="V37" s="494"/>
      <c r="W37" s="493"/>
      <c r="X37" s="349"/>
      <c r="Y37" s="384"/>
      <c r="Z37" s="384"/>
      <c r="AA37" s="384"/>
      <c r="AC37" s="349"/>
      <c r="AD37" s="384"/>
      <c r="AE37" s="384"/>
      <c r="AF37" s="384"/>
      <c r="AG37" s="493"/>
      <c r="AH37" s="493"/>
      <c r="AI37" s="493"/>
      <c r="AJ37" s="349"/>
      <c r="AK37" s="384"/>
      <c r="AL37" s="384"/>
      <c r="AM37" s="384"/>
    </row>
    <row r="38" spans="1:39" ht="15.75" customHeight="1">
      <c r="A38" s="349" t="s">
        <v>925</v>
      </c>
      <c r="B38" s="455">
        <f>+'NEW...Tables 91-112'!D44</f>
        <v>0</v>
      </c>
      <c r="C38" s="455">
        <f>+'NEW...Tables 91-112'!D75</f>
        <v>0</v>
      </c>
      <c r="D38" s="455">
        <f>+'NEW...Tables 91-112'!D105</f>
        <v>0</v>
      </c>
      <c r="E38" s="455">
        <f>+'NEW...Tables 91-112'!D136</f>
        <v>0</v>
      </c>
      <c r="F38" s="455">
        <f>+'NEW...Tables 91-112'!D167</f>
        <v>0</v>
      </c>
      <c r="G38" s="455">
        <f>+'NEW...Tables 91-112'!D197</f>
        <v>0</v>
      </c>
      <c r="H38" s="460">
        <f>+'NEW...Tables 91-112'!D12</f>
        <v>0</v>
      </c>
      <c r="I38" s="457">
        <f>+'NEW...Tables 91-112'!D259</f>
        <v>26.252214200931927</v>
      </c>
      <c r="J38" s="455">
        <f>+'NEW...Tables 91-112'!D290</f>
        <v>26.611706085875827</v>
      </c>
      <c r="K38" s="455">
        <f>+'NEW...Tables 91-112'!D321</f>
        <v>0</v>
      </c>
      <c r="L38" s="455">
        <f>+'NEW...Tables 91-112'!D352</f>
        <v>29.004728132387708</v>
      </c>
      <c r="M38" s="457">
        <f>+'NEW...Tables 91-112'!D228</f>
        <v>26.306326309729574</v>
      </c>
      <c r="N38" s="458">
        <f>+'NEW...Tables 91-112'!D413</f>
        <v>0</v>
      </c>
      <c r="O38" s="384">
        <f>+'NEW...Tables 91-112'!D443</f>
        <v>0</v>
      </c>
      <c r="P38" s="457">
        <f>+'NEW...Tables 91-112'!D383</f>
        <v>0</v>
      </c>
      <c r="Q38" s="492">
        <f>+'NEW...Tables 87-90'!H38-'OLD...Tables'!H37</f>
        <v>0</v>
      </c>
      <c r="R38" s="492">
        <f>+'NEW...Tables 87-90'!M38-'OLD...Tables'!M37</f>
        <v>1.6239530022978101</v>
      </c>
      <c r="S38" s="492">
        <f>+'NEW...Tables 87-90'!P38-'OLD...Tables'!P37</f>
        <v>0</v>
      </c>
      <c r="T38" s="384"/>
      <c r="U38" s="493"/>
      <c r="V38" s="493"/>
      <c r="W38" s="493"/>
      <c r="X38" s="349"/>
      <c r="Y38" s="384"/>
      <c r="Z38" s="384"/>
      <c r="AA38" s="384"/>
      <c r="AC38" s="349"/>
      <c r="AD38" s="384"/>
      <c r="AE38" s="384"/>
      <c r="AF38" s="384"/>
      <c r="AG38" s="493"/>
      <c r="AH38" s="493"/>
      <c r="AI38" s="493"/>
      <c r="AJ38" s="349"/>
      <c r="AK38" s="384"/>
      <c r="AL38" s="384"/>
      <c r="AM38" s="384"/>
    </row>
    <row r="39" spans="1:39" ht="15.75" customHeight="1">
      <c r="A39" s="349"/>
      <c r="B39" s="455"/>
      <c r="C39" s="455"/>
      <c r="D39" s="455"/>
      <c r="E39" s="455"/>
      <c r="F39" s="455"/>
      <c r="G39" s="455"/>
      <c r="H39" s="460"/>
      <c r="I39" s="457"/>
      <c r="J39" s="455"/>
      <c r="K39" s="455"/>
      <c r="L39" s="455"/>
      <c r="M39" s="457"/>
      <c r="N39" s="458"/>
      <c r="O39" s="384"/>
      <c r="P39" s="457"/>
      <c r="Q39" s="492"/>
      <c r="R39" s="492"/>
      <c r="S39" s="492"/>
      <c r="T39" s="384"/>
      <c r="U39" s="493"/>
      <c r="V39" s="493"/>
      <c r="W39" s="493"/>
      <c r="X39" s="349"/>
      <c r="Y39" s="384"/>
      <c r="Z39" s="384"/>
      <c r="AA39" s="384"/>
      <c r="AC39" s="349"/>
      <c r="AD39" s="384"/>
      <c r="AE39" s="384"/>
      <c r="AF39" s="384"/>
      <c r="AG39" s="493"/>
      <c r="AH39" s="493"/>
      <c r="AI39" s="493"/>
      <c r="AJ39" s="349"/>
      <c r="AK39" s="384"/>
      <c r="AL39" s="384"/>
      <c r="AM39" s="384"/>
    </row>
    <row r="40" spans="1:39" ht="15.75" customHeight="1">
      <c r="A40" s="349" t="s">
        <v>889</v>
      </c>
      <c r="B40" s="455">
        <f>+'NEW...Tables 91-112'!D46</f>
        <v>12.479033123725838</v>
      </c>
      <c r="C40" s="455">
        <f>+'NEW...Tables 91-112'!D77</f>
        <v>1.4909461150021459</v>
      </c>
      <c r="D40" s="455">
        <f>+'NEW...Tables 91-112'!D107</f>
        <v>22.715898630399067</v>
      </c>
      <c r="E40" s="455">
        <f>+'NEW...Tables 91-112'!D138</f>
        <v>17.599528664671155</v>
      </c>
      <c r="F40" s="455">
        <f>+'NEW...Tables 91-112'!D169</f>
        <v>9.1902830717716579</v>
      </c>
      <c r="G40" s="455">
        <f>+'NEW...Tables 91-112'!D199</f>
        <v>13.83081034526059</v>
      </c>
      <c r="H40" s="460">
        <f>+'NEW...Tables 91-112'!D14</f>
        <v>15.991468887444965</v>
      </c>
      <c r="I40" s="457">
        <f>+'NEW...Tables 91-112'!D261</f>
        <v>19.282051076100096</v>
      </c>
      <c r="J40" s="455">
        <f>+'NEW...Tables 91-112'!D292</f>
        <v>0</v>
      </c>
      <c r="K40" s="455">
        <f>+'NEW...Tables 91-112'!D323</f>
        <v>0</v>
      </c>
      <c r="L40" s="455">
        <f>+'NEW...Tables 91-112'!D354</f>
        <v>35.921932906579393</v>
      </c>
      <c r="M40" s="457">
        <f>+'NEW...Tables 91-112'!D230</f>
        <v>20.563574494584433</v>
      </c>
      <c r="N40" s="458">
        <f>+'NEW...Tables 91-112'!D415</f>
        <v>33.919356681021604</v>
      </c>
      <c r="O40" s="384">
        <f>+'NEW...Tables 91-112'!D445</f>
        <v>0</v>
      </c>
      <c r="P40" s="457">
        <f>+'NEW...Tables 91-112'!D385</f>
        <v>33.919356681021604</v>
      </c>
      <c r="Q40" s="492">
        <f>+'NEW...Tables 87-90'!H40-'OLD...Tables'!H39</f>
        <v>1.9417891368510602</v>
      </c>
      <c r="R40" s="492">
        <f>+'NEW...Tables 87-90'!M40-'OLD...Tables'!M39</f>
        <v>-2.0694668826429918</v>
      </c>
      <c r="S40" s="492">
        <f>+'NEW...Tables 87-90'!P40-'OLD...Tables'!P39</f>
        <v>1.6466052541981497</v>
      </c>
      <c r="T40" s="384"/>
      <c r="U40" s="493"/>
      <c r="V40" s="493"/>
      <c r="W40" s="493"/>
      <c r="X40" s="349"/>
      <c r="Y40" s="384"/>
      <c r="Z40" s="384"/>
      <c r="AA40" s="384"/>
      <c r="AC40" s="349"/>
      <c r="AD40" s="384"/>
      <c r="AE40" s="384"/>
      <c r="AF40" s="384"/>
      <c r="AG40" s="493"/>
      <c r="AH40" s="493"/>
      <c r="AI40" s="493"/>
      <c r="AJ40" s="349"/>
      <c r="AK40" s="384"/>
      <c r="AL40" s="384"/>
      <c r="AM40" s="384"/>
    </row>
    <row r="41" spans="1:39" ht="15.75" customHeight="1">
      <c r="A41" s="349" t="s">
        <v>890</v>
      </c>
      <c r="B41" s="455">
        <f>+'NEW...Tables 91-112'!D47</f>
        <v>9.3714033455783827</v>
      </c>
      <c r="C41" s="455">
        <f>+'NEW...Tables 91-112'!D78</f>
        <v>0</v>
      </c>
      <c r="D41" s="455">
        <f>+'NEW...Tables 91-112'!D108</f>
        <v>19.614625682016076</v>
      </c>
      <c r="E41" s="455">
        <f>+'NEW...Tables 91-112'!D139</f>
        <v>30.628141841402112</v>
      </c>
      <c r="F41" s="455">
        <f>+'NEW...Tables 91-112'!D170</f>
        <v>0</v>
      </c>
      <c r="G41" s="455">
        <f>+'NEW...Tables 91-112'!D200</f>
        <v>0</v>
      </c>
      <c r="H41" s="460">
        <f>+'NEW...Tables 91-112'!D15</f>
        <v>15.731109894066885</v>
      </c>
      <c r="I41" s="457">
        <f>+'NEW...Tables 91-112'!D262</f>
        <v>0</v>
      </c>
      <c r="J41" s="455">
        <f>+'NEW...Tables 91-112'!D293</f>
        <v>33.49121542317171</v>
      </c>
      <c r="K41" s="455">
        <f>+'NEW...Tables 91-112'!D324</f>
        <v>44.72965724864612</v>
      </c>
      <c r="L41" s="455">
        <f>+'NEW...Tables 91-112'!D355</f>
        <v>42.32508157324007</v>
      </c>
      <c r="M41" s="457">
        <f>+'NEW...Tables 91-112'!D231</f>
        <v>40.679386731115287</v>
      </c>
      <c r="N41" s="458">
        <f>+'NEW...Tables 91-112'!D416</f>
        <v>31.638471452767675</v>
      </c>
      <c r="O41" s="384">
        <f>+'NEW...Tables 91-112'!D446</f>
        <v>0</v>
      </c>
      <c r="P41" s="457">
        <f>+'NEW...Tables 91-112'!D386</f>
        <v>31.638471452767675</v>
      </c>
      <c r="Q41" s="492">
        <f>+'NEW...Tables 87-90'!H41-'OLD...Tables'!H40</f>
        <v>0.92249824833350758</v>
      </c>
      <c r="R41" s="492">
        <f>+'NEW...Tables 87-90'!M41-'OLD...Tables'!M40</f>
        <v>0.40116101310884744</v>
      </c>
      <c r="S41" s="492">
        <f>+'NEW...Tables 87-90'!P41-'OLD...Tables'!P40</f>
        <v>-0.48185748829933317</v>
      </c>
      <c r="T41" s="384"/>
      <c r="U41" s="493"/>
      <c r="V41" s="493"/>
      <c r="W41" s="493"/>
      <c r="X41" s="349"/>
      <c r="Y41" s="384"/>
      <c r="Z41" s="384"/>
      <c r="AA41" s="384"/>
      <c r="AC41" s="349"/>
      <c r="AD41" s="384"/>
      <c r="AE41" s="384"/>
      <c r="AF41" s="384"/>
      <c r="AG41" s="493"/>
      <c r="AH41" s="493"/>
      <c r="AI41" s="493"/>
      <c r="AJ41" s="349"/>
      <c r="AK41" s="384"/>
      <c r="AL41" s="384"/>
      <c r="AM41" s="384"/>
    </row>
    <row r="42" spans="1:39" ht="15.75" customHeight="1">
      <c r="A42" s="349" t="s">
        <v>891</v>
      </c>
      <c r="B42" s="455">
        <f>+'NEW...Tables 91-112'!D48</f>
        <v>3.089887640449438</v>
      </c>
      <c r="C42" s="455">
        <f>+'NEW...Tables 91-112'!D79</f>
        <v>12.223179418569371</v>
      </c>
      <c r="D42" s="455">
        <f>+'NEW...Tables 91-112'!D109</f>
        <v>19.638577913775027</v>
      </c>
      <c r="E42" s="455">
        <f>+'NEW...Tables 91-112'!D140</f>
        <v>28.684856884535247</v>
      </c>
      <c r="F42" s="455">
        <f>+'NEW...Tables 91-112'!D171</f>
        <v>12.292682926829281</v>
      </c>
      <c r="G42" s="455">
        <f>+'NEW...Tables 91-112'!D201</f>
        <v>35.520000000000003</v>
      </c>
      <c r="H42" s="460">
        <f>+'NEW...Tables 91-112'!D16</f>
        <v>15.67387338876825</v>
      </c>
      <c r="I42" s="457">
        <f>+'NEW...Tables 91-112'!D263</f>
        <v>0</v>
      </c>
      <c r="J42" s="455">
        <f>+'NEW...Tables 91-112'!D294</f>
        <v>19.879278752394612</v>
      </c>
      <c r="K42" s="455">
        <f>+'NEW...Tables 91-112'!D325</f>
        <v>15.923257799793006</v>
      </c>
      <c r="L42" s="455">
        <f>+'NEW...Tables 91-112'!D356</f>
        <v>28.805242899041456</v>
      </c>
      <c r="M42" s="457">
        <f>+'NEW...Tables 91-112'!D232</f>
        <v>20.103493917738184</v>
      </c>
      <c r="N42" s="458">
        <f>+'NEW...Tables 91-112'!D417</f>
        <v>14.950318777843735</v>
      </c>
      <c r="O42" s="384">
        <f>+'NEW...Tables 91-112'!D447</f>
        <v>0</v>
      </c>
      <c r="P42" s="457">
        <f>+'NEW...Tables 91-112'!D387</f>
        <v>14.950318777843735</v>
      </c>
      <c r="Q42" s="492">
        <f>+'NEW...Tables 87-90'!H42-'OLD...Tables'!H41</f>
        <v>3.6571830136074084</v>
      </c>
      <c r="R42" s="492">
        <f>+'NEW...Tables 87-90'!M42-'OLD...Tables'!M41</f>
        <v>4.4689635840833333</v>
      </c>
      <c r="S42" s="492">
        <f>+'NEW...Tables 87-90'!P42-'OLD...Tables'!P41</f>
        <v>4.9159629525594024</v>
      </c>
      <c r="T42" s="384"/>
      <c r="U42" s="493"/>
      <c r="V42" s="493"/>
      <c r="W42" s="493"/>
      <c r="X42" s="349"/>
      <c r="Y42" s="384"/>
      <c r="Z42" s="384"/>
      <c r="AA42" s="384"/>
      <c r="AC42" s="349"/>
      <c r="AD42" s="384"/>
      <c r="AE42" s="384"/>
      <c r="AF42" s="384"/>
      <c r="AG42" s="493"/>
      <c r="AH42" s="493"/>
      <c r="AI42" s="493"/>
      <c r="AJ42" s="349"/>
      <c r="AK42" s="384"/>
      <c r="AL42" s="384"/>
      <c r="AM42" s="384"/>
    </row>
    <row r="43" spans="1:39" ht="15.75" customHeight="1">
      <c r="A43" s="349" t="s">
        <v>892</v>
      </c>
      <c r="B43" s="455">
        <f>+'NEW...Tables 91-112'!D49</f>
        <v>4.2136849816849811</v>
      </c>
      <c r="C43" s="455">
        <f>+'NEW...Tables 91-112'!D80</f>
        <v>11.253089288670713</v>
      </c>
      <c r="D43" s="455">
        <f>+'NEW...Tables 91-112'!D110</f>
        <v>13.352168740849194</v>
      </c>
      <c r="E43" s="455">
        <f>+'NEW...Tables 91-112'!D141</f>
        <v>14.979632133655493</v>
      </c>
      <c r="F43" s="455">
        <f>+'NEW...Tables 91-112'!D172</f>
        <v>20.614653465346535</v>
      </c>
      <c r="G43" s="455">
        <f>+'NEW...Tables 91-112'!D202</f>
        <v>0</v>
      </c>
      <c r="H43" s="460">
        <f>+'NEW...Tables 91-112'!D17</f>
        <v>29.519179196301163</v>
      </c>
      <c r="I43" s="457">
        <f>+'NEW...Tables 91-112'!D264</f>
        <v>0</v>
      </c>
      <c r="J43" s="455">
        <f>+'NEW...Tables 91-112'!D295</f>
        <v>16.89299584438232</v>
      </c>
      <c r="K43" s="455">
        <f>+'NEW...Tables 91-112'!D326</f>
        <v>26.376376527531562</v>
      </c>
      <c r="L43" s="455">
        <f>+'NEW...Tables 91-112'!D357</f>
        <v>22.91613178576311</v>
      </c>
      <c r="M43" s="457">
        <f>+'NEW...Tables 91-112'!D233</f>
        <v>19.013795826304445</v>
      </c>
      <c r="N43" s="458">
        <f>+'NEW...Tables 91-112'!D418</f>
        <v>0</v>
      </c>
      <c r="O43" s="384">
        <f>+'NEW...Tables 91-112'!D448</f>
        <v>0</v>
      </c>
      <c r="P43" s="457">
        <f>+'NEW...Tables 91-112'!D388</f>
        <v>0</v>
      </c>
      <c r="Q43" s="492">
        <f>+'NEW...Tables 87-90'!H43-'OLD...Tables'!H42</f>
        <v>0.79498667956283597</v>
      </c>
      <c r="R43" s="492">
        <f>+'NEW...Tables 87-90'!M43-'OLD...Tables'!M42</f>
        <v>0.62650437906132339</v>
      </c>
      <c r="S43" s="492">
        <f>+'NEW...Tables 87-90'!P43-'OLD...Tables'!P42</f>
        <v>0</v>
      </c>
      <c r="T43" s="384"/>
      <c r="U43" s="494"/>
      <c r="V43" s="493"/>
      <c r="W43" s="493"/>
      <c r="X43" s="349"/>
      <c r="Y43" s="384"/>
      <c r="Z43" s="384"/>
      <c r="AA43" s="384"/>
      <c r="AC43" s="349"/>
      <c r="AD43" s="384"/>
      <c r="AE43" s="384"/>
      <c r="AF43" s="384"/>
      <c r="AG43" s="493"/>
      <c r="AH43" s="493"/>
      <c r="AI43" s="493"/>
      <c r="AJ43" s="349"/>
      <c r="AK43" s="384"/>
      <c r="AL43" s="384"/>
      <c r="AM43" s="384"/>
    </row>
    <row r="44" spans="1:39" ht="15.75" customHeight="1">
      <c r="A44" s="349"/>
      <c r="B44" s="455"/>
      <c r="C44" s="455"/>
      <c r="D44" s="455"/>
      <c r="E44" s="455"/>
      <c r="F44" s="455"/>
      <c r="G44" s="455"/>
      <c r="H44" s="460"/>
      <c r="I44" s="457"/>
      <c r="J44" s="455"/>
      <c r="K44" s="455"/>
      <c r="L44" s="455"/>
      <c r="M44" s="457"/>
      <c r="N44" s="458"/>
      <c r="O44" s="384"/>
      <c r="P44" s="457"/>
      <c r="Q44" s="492"/>
      <c r="R44" s="492"/>
      <c r="S44" s="492"/>
      <c r="T44" s="384"/>
      <c r="U44" s="494"/>
      <c r="V44" s="493"/>
      <c r="W44" s="493"/>
      <c r="X44" s="349"/>
      <c r="Y44" s="384"/>
      <c r="Z44" s="384"/>
      <c r="AA44" s="384"/>
      <c r="AC44" s="349"/>
      <c r="AD44" s="384"/>
      <c r="AE44" s="384"/>
      <c r="AF44" s="384"/>
      <c r="AG44" s="493"/>
      <c r="AH44" s="493"/>
      <c r="AI44" s="493"/>
      <c r="AJ44" s="349"/>
      <c r="AK44" s="384"/>
      <c r="AL44" s="384"/>
      <c r="AM44" s="384"/>
    </row>
    <row r="45" spans="1:39" ht="15.75" customHeight="1">
      <c r="A45" s="349" t="s">
        <v>940</v>
      </c>
      <c r="B45" s="455">
        <f>+'NEW...Tables 91-112'!D51</f>
        <v>14.374663932124996</v>
      </c>
      <c r="C45" s="455">
        <f>+'NEW...Tables 91-112'!D82</f>
        <v>14.525131967112596</v>
      </c>
      <c r="D45" s="455">
        <f>+'NEW...Tables 91-112'!D112</f>
        <v>0</v>
      </c>
      <c r="E45" s="455">
        <f>+'NEW...Tables 91-112'!D143</f>
        <v>23.179624639927031</v>
      </c>
      <c r="F45" s="455">
        <f>+'NEW...Tables 91-112'!D174</f>
        <v>51.456715919525841</v>
      </c>
      <c r="G45" s="455">
        <f>+'NEW...Tables 91-112'!D204</f>
        <v>0</v>
      </c>
      <c r="H45" s="460">
        <f>+'NEW...Tables 91-112'!D19</f>
        <v>16.892862500634067</v>
      </c>
      <c r="I45" s="457">
        <f>+'NEW...Tables 91-112'!D266</f>
        <v>0</v>
      </c>
      <c r="J45" s="455">
        <f>+'NEW...Tables 91-112'!D297</f>
        <v>27.432690913224288</v>
      </c>
      <c r="K45" s="455">
        <f>+'NEW...Tables 91-112'!D328</f>
        <v>24.631721525978723</v>
      </c>
      <c r="L45" s="455">
        <f>+'NEW...Tables 91-112'!D359</f>
        <v>18.637194804210448</v>
      </c>
      <c r="M45" s="457">
        <f>+'NEW...Tables 91-112'!D235</f>
        <v>25.811545550394303</v>
      </c>
      <c r="N45" s="458">
        <f>+'NEW...Tables 91-112'!D420</f>
        <v>0</v>
      </c>
      <c r="O45" s="384">
        <f>+'NEW...Tables 91-112'!D450</f>
        <v>0</v>
      </c>
      <c r="P45" s="457">
        <f>+'NEW...Tables 91-112'!D390</f>
        <v>0</v>
      </c>
      <c r="Q45" s="492">
        <f>+'NEW...Tables 87-90'!H45-'OLD...Tables'!H44</f>
        <v>2.3791622857212289</v>
      </c>
      <c r="R45" s="492">
        <f>+'NEW...Tables 87-90'!M45-'OLD...Tables'!M44</f>
        <v>0.68225862862379216</v>
      </c>
      <c r="S45" s="492">
        <f>+'NEW...Tables 87-90'!P45-'OLD...Tables'!P44</f>
        <v>0</v>
      </c>
      <c r="T45" s="384"/>
      <c r="U45" s="493"/>
      <c r="V45" s="493"/>
      <c r="W45" s="493"/>
      <c r="X45" s="349"/>
      <c r="Y45" s="384"/>
      <c r="Z45" s="384"/>
      <c r="AA45" s="384"/>
      <c r="AC45" s="349"/>
      <c r="AD45" s="384"/>
      <c r="AE45" s="384"/>
      <c r="AF45" s="384"/>
      <c r="AG45" s="493"/>
      <c r="AH45" s="493"/>
      <c r="AI45" s="493"/>
      <c r="AJ45" s="349"/>
      <c r="AK45" s="384"/>
      <c r="AL45" s="384"/>
      <c r="AM45" s="384"/>
    </row>
    <row r="46" spans="1:39" ht="15.75" customHeight="1">
      <c r="A46" s="349" t="s">
        <v>894</v>
      </c>
      <c r="B46" s="455">
        <f>+'NEW...Tables 91-112'!D52</f>
        <v>13.455068810435353</v>
      </c>
      <c r="C46" s="455">
        <f>+'NEW...Tables 91-112'!D83</f>
        <v>20.041375255647836</v>
      </c>
      <c r="D46" s="455">
        <f>+'NEW...Tables 91-112'!D113</f>
        <v>14.989696182508181</v>
      </c>
      <c r="E46" s="455">
        <f>+'NEW...Tables 91-112'!D144</f>
        <v>33.292026924268455</v>
      </c>
      <c r="F46" s="455">
        <f>+'NEW...Tables 91-112'!D175</f>
        <v>23.601181113621415</v>
      </c>
      <c r="G46" s="455">
        <f>+'NEW...Tables 91-112'!D205</f>
        <v>6.3272431297791671</v>
      </c>
      <c r="H46" s="460">
        <f>+'NEW...Tables 91-112'!D20</f>
        <v>15.653802388432808</v>
      </c>
      <c r="I46" s="457">
        <f>+'NEW...Tables 91-112'!D267</f>
        <v>0</v>
      </c>
      <c r="J46" s="455">
        <f>+'NEW...Tables 91-112'!D298</f>
        <v>57.62453909923061</v>
      </c>
      <c r="K46" s="455">
        <f>+'NEW...Tables 91-112'!D329</f>
        <v>64.778167088491799</v>
      </c>
      <c r="L46" s="455">
        <f>+'NEW...Tables 91-112'!D360</f>
        <v>67.305873410736623</v>
      </c>
      <c r="M46" s="457">
        <f>+'NEW...Tables 91-112'!D236</f>
        <v>61.922222028529909</v>
      </c>
      <c r="N46" s="458">
        <f>+'NEW...Tables 91-112'!D421</f>
        <v>0</v>
      </c>
      <c r="O46" s="384">
        <f>+'NEW...Tables 91-112'!D451</f>
        <v>0</v>
      </c>
      <c r="P46" s="457">
        <f>+'NEW...Tables 91-112'!D391</f>
        <v>0</v>
      </c>
      <c r="Q46" s="492">
        <f>+'NEW...Tables 87-90'!H46-'OLD...Tables'!H45</f>
        <v>0.44920177630118374</v>
      </c>
      <c r="R46" s="492">
        <f>+'NEW...Tables 87-90'!M46-'OLD...Tables'!M45</f>
        <v>1.8358702872229458</v>
      </c>
      <c r="S46" s="492">
        <f>+'NEW...Tables 87-90'!P46-'OLD...Tables'!P45</f>
        <v>0</v>
      </c>
      <c r="T46" s="384"/>
      <c r="U46" s="493"/>
      <c r="V46" s="493"/>
      <c r="W46" s="493"/>
      <c r="X46" s="349"/>
      <c r="Y46" s="384"/>
      <c r="Z46" s="384"/>
      <c r="AA46" s="384"/>
      <c r="AC46" s="349"/>
      <c r="AD46" s="384"/>
      <c r="AE46" s="384"/>
      <c r="AF46" s="384"/>
      <c r="AG46" s="493"/>
      <c r="AH46" s="493"/>
      <c r="AI46" s="493"/>
      <c r="AJ46" s="349"/>
      <c r="AK46" s="384"/>
      <c r="AL46" s="384"/>
      <c r="AM46" s="384"/>
    </row>
    <row r="47" spans="1:39" ht="15.75" customHeight="1">
      <c r="A47" s="349" t="s">
        <v>895</v>
      </c>
      <c r="B47" s="455">
        <f>+'NEW...Tables 91-112'!D53</f>
        <v>13.501283003182788</v>
      </c>
      <c r="C47" s="455">
        <f>+'NEW...Tables 91-112'!D84</f>
        <v>0</v>
      </c>
      <c r="D47" s="455">
        <f>+'NEW...Tables 91-112'!D114</f>
        <v>23.871444616167334</v>
      </c>
      <c r="E47" s="455">
        <f>+'NEW...Tables 91-112'!D145</f>
        <v>28.652784673344819</v>
      </c>
      <c r="F47" s="455">
        <f>+'NEW...Tables 91-112'!D176</f>
        <v>23.973946265882049</v>
      </c>
      <c r="G47" s="455">
        <f>+'NEW...Tables 91-112'!D206</f>
        <v>22.934755196887274</v>
      </c>
      <c r="H47" s="460">
        <f>+'NEW...Tables 91-112'!D21</f>
        <v>18.983197051827805</v>
      </c>
      <c r="I47" s="457">
        <f>+'NEW...Tables 91-112'!D268</f>
        <v>35.091840571995093</v>
      </c>
      <c r="J47" s="455">
        <f>+'NEW...Tables 91-112'!D299</f>
        <v>29.251296736146568</v>
      </c>
      <c r="K47" s="455">
        <f>+'NEW...Tables 91-112'!D330</f>
        <v>29.514707473966055</v>
      </c>
      <c r="L47" s="455">
        <f>+'NEW...Tables 91-112'!D361</f>
        <v>30.639320352040688</v>
      </c>
      <c r="M47" s="457">
        <f>+'NEW...Tables 91-112'!D237</f>
        <v>30.578590599408159</v>
      </c>
      <c r="N47" s="458">
        <f>+'NEW...Tables 91-112'!D422</f>
        <v>0</v>
      </c>
      <c r="O47" s="384">
        <f>+'NEW...Tables 91-112'!D452</f>
        <v>0</v>
      </c>
      <c r="P47" s="457">
        <f>+'NEW...Tables 91-112'!D392</f>
        <v>0</v>
      </c>
      <c r="Q47" s="492">
        <f>+'NEW...Tables 87-90'!H47-'OLD...Tables'!H46</f>
        <v>1.4505268597265761</v>
      </c>
      <c r="R47" s="492">
        <f>+'NEW...Tables 87-90'!M47-'OLD...Tables'!M46</f>
        <v>1.062713883375384</v>
      </c>
      <c r="S47" s="492">
        <f>+'NEW...Tables 87-90'!P47-'OLD...Tables'!P46</f>
        <v>0</v>
      </c>
      <c r="T47" s="384"/>
      <c r="U47" s="493"/>
      <c r="V47" s="493"/>
      <c r="W47" s="493"/>
      <c r="X47" s="349"/>
      <c r="Y47" s="384"/>
      <c r="Z47" s="384"/>
      <c r="AA47" s="384"/>
      <c r="AC47" s="349"/>
      <c r="AD47" s="384"/>
      <c r="AE47" s="384"/>
      <c r="AF47" s="384"/>
      <c r="AG47" s="493"/>
      <c r="AH47" s="493"/>
      <c r="AI47" s="493"/>
      <c r="AJ47" s="349"/>
      <c r="AK47" s="384"/>
      <c r="AL47" s="384"/>
      <c r="AM47" s="384"/>
    </row>
    <row r="48" spans="1:39" ht="15.75" customHeight="1">
      <c r="A48" s="349" t="s">
        <v>896</v>
      </c>
      <c r="B48" s="455">
        <f>+'NEW...Tables 91-112'!D54</f>
        <v>8.7558021388419842</v>
      </c>
      <c r="C48" s="455">
        <f>+'NEW...Tables 91-112'!D85</f>
        <v>0</v>
      </c>
      <c r="D48" s="455">
        <f>+'NEW...Tables 91-112'!D115</f>
        <v>6.9142243589980108</v>
      </c>
      <c r="E48" s="455">
        <f>+'NEW...Tables 91-112'!D146</f>
        <v>0</v>
      </c>
      <c r="F48" s="455">
        <f>+'NEW...Tables 91-112'!D177</f>
        <v>11.69211019130619</v>
      </c>
      <c r="G48" s="455">
        <f>+'NEW...Tables 91-112'!D207</f>
        <v>14.63238426912176</v>
      </c>
      <c r="H48" s="460">
        <f>+'NEW...Tables 91-112'!D22</f>
        <v>9.6873392648040522</v>
      </c>
      <c r="I48" s="457">
        <f>+'NEW...Tables 91-112'!D269</f>
        <v>0</v>
      </c>
      <c r="J48" s="455">
        <f>+'NEW...Tables 91-112'!D300</f>
        <v>31.170182321451989</v>
      </c>
      <c r="K48" s="455">
        <f>+'NEW...Tables 91-112'!D331</f>
        <v>37.244983919338353</v>
      </c>
      <c r="L48" s="455">
        <f>+'NEW...Tables 91-112'!D362</f>
        <v>21.604971562034589</v>
      </c>
      <c r="M48" s="457">
        <f>+'NEW...Tables 91-112'!D238</f>
        <v>31.686296315017945</v>
      </c>
      <c r="N48" s="458">
        <f>+'NEW...Tables 91-112'!D423</f>
        <v>0</v>
      </c>
      <c r="O48" s="384">
        <f>+'NEW...Tables 91-112'!D453</f>
        <v>0</v>
      </c>
      <c r="P48" s="457">
        <f>+'NEW...Tables 91-112'!D393</f>
        <v>0</v>
      </c>
      <c r="Q48" s="492">
        <f>+'NEW...Tables 87-90'!H48-'OLD...Tables'!H47</f>
        <v>1.7643518730218837</v>
      </c>
      <c r="R48" s="492">
        <f>+'NEW...Tables 87-90'!M48-'OLD...Tables'!M47</f>
        <v>1.9528072481646248</v>
      </c>
      <c r="S48" s="492">
        <f>+'NEW...Tables 87-90'!P48-'OLD...Tables'!P47</f>
        <v>0</v>
      </c>
      <c r="T48" s="384"/>
      <c r="U48" s="493"/>
      <c r="V48" s="493"/>
      <c r="W48" s="493"/>
      <c r="X48" s="349"/>
      <c r="Y48" s="384"/>
      <c r="Z48" s="384"/>
      <c r="AA48" s="384"/>
    </row>
    <row r="49" spans="1:40" ht="15.75" customHeight="1">
      <c r="A49" s="349"/>
      <c r="B49" s="455"/>
      <c r="C49" s="455"/>
      <c r="D49" s="455"/>
      <c r="E49" s="455"/>
      <c r="F49" s="455"/>
      <c r="G49" s="455"/>
      <c r="H49" s="460"/>
      <c r="I49" s="457"/>
      <c r="J49" s="455"/>
      <c r="K49" s="455"/>
      <c r="L49" s="455"/>
      <c r="M49" s="457"/>
      <c r="N49" s="458"/>
      <c r="O49" s="384"/>
      <c r="P49" s="457"/>
      <c r="Q49" s="492"/>
      <c r="R49" s="492"/>
      <c r="S49" s="492"/>
      <c r="T49" s="384"/>
      <c r="U49" s="493"/>
      <c r="V49" s="493"/>
      <c r="W49" s="493"/>
      <c r="X49" s="349"/>
      <c r="Y49" s="384"/>
      <c r="Z49" s="384"/>
      <c r="AA49" s="384"/>
    </row>
    <row r="50" spans="1:40" ht="15.75" customHeight="1">
      <c r="A50" s="349" t="s">
        <v>897</v>
      </c>
      <c r="B50" s="455">
        <f>+'NEW...Tables 91-112'!D56</f>
        <v>13.731052537817469</v>
      </c>
      <c r="C50" s="455">
        <f>+'NEW...Tables 91-112'!D87</f>
        <v>20.005151340920406</v>
      </c>
      <c r="D50" s="455">
        <f>+'NEW...Tables 91-112'!D117</f>
        <v>27.823780902757935</v>
      </c>
      <c r="E50" s="455">
        <f>+'NEW...Tables 91-112'!D148</f>
        <v>0</v>
      </c>
      <c r="F50" s="455">
        <f>+'NEW...Tables 91-112'!D179</f>
        <v>15.12547810594037</v>
      </c>
      <c r="G50" s="455">
        <f>+'NEW...Tables 91-112'!D209</f>
        <v>0</v>
      </c>
      <c r="H50" s="460">
        <f>+'NEW...Tables 91-112'!D24</f>
        <v>19.577721542302676</v>
      </c>
      <c r="I50" s="457">
        <f>+'NEW...Tables 91-112'!D271</f>
        <v>0</v>
      </c>
      <c r="J50" s="455">
        <f>+'NEW...Tables 91-112'!D302</f>
        <v>26.034091743793155</v>
      </c>
      <c r="K50" s="455">
        <f>+'NEW...Tables 91-112'!D333</f>
        <v>27.423243786111303</v>
      </c>
      <c r="L50" s="455">
        <f>+'NEW...Tables 91-112'!D364</f>
        <v>27.364065018005295</v>
      </c>
      <c r="M50" s="457">
        <f>+'NEW...Tables 91-112'!D240</f>
        <v>26.692045592877346</v>
      </c>
      <c r="N50" s="458">
        <f>+'NEW...Tables 91-112'!D425</f>
        <v>0</v>
      </c>
      <c r="O50" s="384">
        <f>+'NEW...Tables 91-112'!D455</f>
        <v>0</v>
      </c>
      <c r="P50" s="457">
        <f>+'NEW...Tables 91-112'!D395</f>
        <v>0</v>
      </c>
      <c r="Q50" s="492">
        <f>+'NEW...Tables 87-90'!H50-'OLD...Tables'!H49</f>
        <v>0.75321692400315854</v>
      </c>
      <c r="R50" s="492">
        <f>+'NEW...Tables 87-90'!M50-'OLD...Tables'!M49</f>
        <v>1.2893108163890794</v>
      </c>
      <c r="S50" s="492">
        <f>+'NEW...Tables 87-90'!P50-'OLD...Tables'!P49</f>
        <v>0</v>
      </c>
      <c r="T50" s="384"/>
      <c r="U50" s="493"/>
      <c r="V50" s="493"/>
      <c r="W50" s="493"/>
      <c r="X50" s="349"/>
      <c r="Y50" s="384"/>
      <c r="Z50" s="384"/>
      <c r="AA50" s="384"/>
    </row>
    <row r="51" spans="1:40" s="396" customFormat="1" ht="16.5" customHeight="1">
      <c r="A51" s="349" t="s">
        <v>898</v>
      </c>
      <c r="B51" s="455">
        <f>+'NEW...Tables 91-112'!D57</f>
        <v>16.205362079595272</v>
      </c>
      <c r="C51" s="455">
        <f>+'NEW...Tables 91-112'!D88</f>
        <v>14.10944133453167</v>
      </c>
      <c r="D51" s="455">
        <f>+'NEW...Tables 91-112'!D118</f>
        <v>22.430221997197556</v>
      </c>
      <c r="E51" s="455">
        <f>+'NEW...Tables 91-112'!D149</f>
        <v>51.634087665100822</v>
      </c>
      <c r="F51" s="455">
        <f>+'NEW...Tables 91-112'!D180</f>
        <v>37.345700412211116</v>
      </c>
      <c r="G51" s="455">
        <f>+'NEW...Tables 91-112'!D210</f>
        <v>0</v>
      </c>
      <c r="H51" s="460">
        <f>+'NEW...Tables 91-112'!D25</f>
        <v>19.003056355310449</v>
      </c>
      <c r="I51" s="457">
        <f>+'NEW...Tables 91-112'!D272</f>
        <v>24.539685172508978</v>
      </c>
      <c r="J51" s="455">
        <f>+'NEW...Tables 91-112'!D303</f>
        <v>27.37325731134645</v>
      </c>
      <c r="K51" s="455">
        <f>+'NEW...Tables 91-112'!D334</f>
        <v>28.954046244730304</v>
      </c>
      <c r="L51" s="455">
        <f>+'NEW...Tables 91-112'!D365</f>
        <v>36.503695020055389</v>
      </c>
      <c r="M51" s="457">
        <f>+'NEW...Tables 91-112'!D241</f>
        <v>27.837378800265402</v>
      </c>
      <c r="N51" s="458">
        <f>+'NEW...Tables 91-112'!D426</f>
        <v>0</v>
      </c>
      <c r="O51" s="384">
        <f>+'NEW...Tables 91-112'!D456</f>
        <v>0</v>
      </c>
      <c r="P51" s="457">
        <f>+'NEW...Tables 91-112'!D396</f>
        <v>0</v>
      </c>
      <c r="Q51" s="492">
        <f>+'NEW...Tables 87-90'!H51-'OLD...Tables'!H50</f>
        <v>2.0238853388952975</v>
      </c>
      <c r="R51" s="492">
        <f>+'NEW...Tables 87-90'!M51-'OLD...Tables'!M50</f>
        <v>1.6643676610153406</v>
      </c>
      <c r="S51" s="492">
        <f>+'NEW...Tables 87-90'!P51-'OLD...Tables'!P50</f>
        <v>0</v>
      </c>
      <c r="T51" s="384"/>
      <c r="U51" s="493"/>
      <c r="V51" s="493"/>
      <c r="W51" s="493"/>
      <c r="X51" s="349"/>
      <c r="Y51" s="384"/>
      <c r="Z51" s="384"/>
      <c r="AA51" s="384"/>
      <c r="AB51" s="225"/>
      <c r="AC51" s="225"/>
      <c r="AD51" s="225"/>
      <c r="AE51" s="225"/>
      <c r="AF51" s="225"/>
      <c r="AG51" s="225"/>
      <c r="AH51" s="225"/>
      <c r="AI51" s="225"/>
      <c r="AJ51" s="225"/>
      <c r="AK51" s="225"/>
      <c r="AL51" s="225"/>
      <c r="AM51" s="225"/>
      <c r="AN51" s="225"/>
    </row>
    <row r="52" spans="1:40" s="396" customFormat="1" ht="14.25" customHeight="1">
      <c r="A52" s="349" t="s">
        <v>899</v>
      </c>
      <c r="B52" s="455">
        <f>+'NEW...Tables 91-112'!D58</f>
        <v>9.5070248048944972</v>
      </c>
      <c r="C52" s="455">
        <f>+'NEW...Tables 91-112'!D89</f>
        <v>0.34913560780969694</v>
      </c>
      <c r="D52" s="455">
        <f>+'NEW...Tables 91-112'!D119</f>
        <v>8.4836085205135312</v>
      </c>
      <c r="E52" s="455">
        <f>+'NEW...Tables 91-112'!D150</f>
        <v>0</v>
      </c>
      <c r="F52" s="455">
        <f>+'NEW...Tables 91-112'!D181</f>
        <v>0</v>
      </c>
      <c r="G52" s="455">
        <f>+'NEW...Tables 91-112'!D211</f>
        <v>22.615172759138709</v>
      </c>
      <c r="H52" s="460">
        <f>+'NEW...Tables 91-112'!D26</f>
        <v>8.7267692330176594</v>
      </c>
      <c r="I52" s="457">
        <f>+'NEW...Tables 91-112'!D273</f>
        <v>0</v>
      </c>
      <c r="J52" s="455">
        <f>+'NEW...Tables 91-112'!D304</f>
        <v>27.885686845491318</v>
      </c>
      <c r="K52" s="455">
        <f>+'NEW...Tables 91-112'!D335</f>
        <v>30.252644498555753</v>
      </c>
      <c r="L52" s="455">
        <f>+'NEW...Tables 91-112'!D366</f>
        <v>39.358823829700341</v>
      </c>
      <c r="M52" s="457">
        <f>+'NEW...Tables 91-112'!D242</f>
        <v>29.92084246909069</v>
      </c>
      <c r="N52" s="458">
        <f>+'NEW...Tables 91-112'!D427</f>
        <v>0</v>
      </c>
      <c r="O52" s="384">
        <f>+'NEW...Tables 91-112'!D457</f>
        <v>0</v>
      </c>
      <c r="P52" s="457">
        <f>+'NEW...Tables 91-112'!D397</f>
        <v>0</v>
      </c>
      <c r="Q52" s="492">
        <f>+'NEW...Tables 87-90'!H52-'OLD...Tables'!H51</f>
        <v>1.022456780105963</v>
      </c>
      <c r="R52" s="492">
        <f>+'NEW...Tables 87-90'!M52-'OLD...Tables'!M51</f>
        <v>0.45905703626731764</v>
      </c>
      <c r="S52" s="492">
        <f>+'NEW...Tables 87-90'!P52-'OLD...Tables'!P51</f>
        <v>0</v>
      </c>
      <c r="T52" s="384"/>
      <c r="U52" s="493"/>
      <c r="V52" s="493"/>
      <c r="W52" s="493"/>
      <c r="X52" s="349"/>
      <c r="Y52" s="384"/>
      <c r="Z52" s="384"/>
      <c r="AA52" s="384"/>
      <c r="AB52" s="225"/>
      <c r="AC52" s="225"/>
      <c r="AD52" s="225"/>
      <c r="AE52" s="225"/>
      <c r="AF52" s="225"/>
      <c r="AG52" s="225"/>
      <c r="AH52" s="225"/>
      <c r="AI52" s="225"/>
      <c r="AJ52" s="225"/>
      <c r="AK52" s="225"/>
      <c r="AL52" s="225"/>
      <c r="AM52" s="225"/>
      <c r="AN52" s="225"/>
    </row>
    <row r="53" spans="1:40" s="396" customFormat="1" ht="15" customHeight="1">
      <c r="A53" s="349" t="s">
        <v>900</v>
      </c>
      <c r="B53" s="455">
        <f>+'NEW...Tables 91-112'!D59</f>
        <v>11.538632473131132</v>
      </c>
      <c r="C53" s="455">
        <f>+'NEW...Tables 91-112'!D90</f>
        <v>0</v>
      </c>
      <c r="D53" s="455">
        <f>+'NEW...Tables 91-112'!D120</f>
        <v>16.740514562958204</v>
      </c>
      <c r="E53" s="455">
        <f>+'NEW...Tables 91-112'!D151</f>
        <v>0</v>
      </c>
      <c r="F53" s="455">
        <f>+'NEW...Tables 91-112'!D182</f>
        <v>13.219768885618745</v>
      </c>
      <c r="G53" s="455">
        <f>+'NEW...Tables 91-112'!D212</f>
        <v>25.600686660379807</v>
      </c>
      <c r="H53" s="460">
        <f>+'NEW...Tables 91-112'!D27</f>
        <v>14.66429601346141</v>
      </c>
      <c r="I53" s="457">
        <f>+'NEW...Tables 91-112'!D274</f>
        <v>25.276534105873058</v>
      </c>
      <c r="J53" s="455">
        <f>+'NEW...Tables 91-112'!D305</f>
        <v>0</v>
      </c>
      <c r="K53" s="455">
        <f>+'NEW...Tables 91-112'!D336</f>
        <v>0</v>
      </c>
      <c r="L53" s="455">
        <f>+'NEW...Tables 91-112'!D367</f>
        <v>27.825843406621555</v>
      </c>
      <c r="M53" s="457">
        <f>+'NEW...Tables 91-112'!D243</f>
        <v>27.220701278200774</v>
      </c>
      <c r="N53" s="458">
        <f>+'NEW...Tables 91-112'!D428</f>
        <v>0</v>
      </c>
      <c r="O53" s="384">
        <f>+'NEW...Tables 91-112'!D458</f>
        <v>0</v>
      </c>
      <c r="P53" s="457">
        <f>+'NEW...Tables 91-112'!D398</f>
        <v>0</v>
      </c>
      <c r="Q53" s="492">
        <f>+'NEW...Tables 87-90'!H53-'OLD...Tables'!H52</f>
        <v>0.93059978850278391</v>
      </c>
      <c r="R53" s="492">
        <f>+'NEW...Tables 87-90'!M53-'OLD...Tables'!M52</f>
        <v>1.3569510678318117</v>
      </c>
      <c r="S53" s="492">
        <f>+'NEW...Tables 87-90'!P53-'OLD...Tables'!P52</f>
        <v>0</v>
      </c>
      <c r="T53" s="384"/>
      <c r="U53" s="493"/>
      <c r="V53" s="493"/>
      <c r="W53" s="493"/>
      <c r="X53" s="349"/>
      <c r="Y53" s="384"/>
      <c r="Z53" s="384"/>
      <c r="AA53" s="384"/>
      <c r="AB53" s="225"/>
      <c r="AC53" s="225"/>
      <c r="AD53" s="225"/>
      <c r="AE53" s="225"/>
      <c r="AF53" s="225"/>
      <c r="AG53" s="225"/>
      <c r="AH53" s="225"/>
      <c r="AI53" s="225"/>
      <c r="AJ53" s="225"/>
      <c r="AK53" s="225"/>
      <c r="AL53" s="225"/>
      <c r="AM53" s="225"/>
      <c r="AN53" s="225"/>
    </row>
    <row r="54" spans="1:40" s="396" customFormat="1" ht="28.5" customHeight="1">
      <c r="A54" s="497" t="s">
        <v>999</v>
      </c>
      <c r="B54" s="497"/>
      <c r="C54" s="497"/>
      <c r="D54" s="497"/>
      <c r="E54" s="497"/>
      <c r="F54" s="497"/>
      <c r="G54" s="497"/>
      <c r="H54" s="497"/>
      <c r="I54" s="497"/>
      <c r="J54" s="497"/>
      <c r="K54" s="497"/>
      <c r="L54" s="497"/>
      <c r="M54" s="497"/>
      <c r="N54" s="497"/>
      <c r="O54" s="497"/>
      <c r="P54" s="497"/>
    </row>
    <row r="55" spans="1:40" s="396" customFormat="1" ht="27" customHeight="1">
      <c r="A55" s="498" t="s">
        <v>987</v>
      </c>
      <c r="B55" s="499"/>
      <c r="C55" s="499"/>
      <c r="D55" s="499"/>
      <c r="E55" s="499"/>
      <c r="F55" s="499"/>
      <c r="G55" s="499"/>
      <c r="H55" s="499"/>
      <c r="I55" s="499"/>
      <c r="J55" s="499"/>
      <c r="K55" s="499"/>
      <c r="L55" s="499"/>
      <c r="M55" s="499"/>
      <c r="N55" s="499"/>
      <c r="O55" s="499"/>
      <c r="P55" s="499"/>
    </row>
    <row r="56" spans="1:40" s="349" customFormat="1" ht="3" customHeight="1">
      <c r="A56" s="395"/>
      <c r="B56" s="437"/>
      <c r="C56" s="437"/>
      <c r="D56" s="437"/>
      <c r="E56" s="437"/>
      <c r="F56" s="437"/>
      <c r="G56" s="437"/>
      <c r="H56" s="437"/>
      <c r="I56" s="437"/>
      <c r="J56" s="437"/>
      <c r="K56" s="437"/>
      <c r="L56" s="437"/>
      <c r="M56" s="437"/>
      <c r="N56" s="437"/>
      <c r="O56" s="437"/>
      <c r="P56" s="437"/>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row>
    <row r="57" spans="1:40">
      <c r="A57" s="396"/>
      <c r="B57" s="396"/>
      <c r="C57" s="396"/>
      <c r="D57" s="396"/>
      <c r="E57" s="396"/>
      <c r="F57" s="396"/>
      <c r="G57" s="396"/>
      <c r="H57" s="396"/>
      <c r="I57" s="396"/>
      <c r="J57" s="396"/>
      <c r="K57" s="396"/>
      <c r="L57" s="396"/>
      <c r="M57" s="466"/>
      <c r="N57" s="396"/>
      <c r="O57" s="396"/>
      <c r="P57" s="402" t="s">
        <v>1007</v>
      </c>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row>
    <row r="58" spans="1:40" ht="18">
      <c r="A58" s="344" t="s">
        <v>988</v>
      </c>
      <c r="B58" s="345"/>
      <c r="C58" s="345"/>
      <c r="D58" s="345"/>
      <c r="E58" s="345"/>
      <c r="F58" s="345"/>
      <c r="G58" s="440"/>
      <c r="H58" s="440"/>
      <c r="I58" s="473" t="s">
        <v>800</v>
      </c>
      <c r="J58" s="473"/>
      <c r="K58" s="473"/>
      <c r="L58" s="473"/>
      <c r="M58" s="473"/>
    </row>
    <row r="59" spans="1:40" ht="9.75" customHeight="1">
      <c r="A59" s="350"/>
      <c r="B59" s="346"/>
      <c r="C59" s="346"/>
      <c r="D59" s="346"/>
      <c r="E59" s="346"/>
      <c r="F59" s="346"/>
      <c r="G59" s="346"/>
      <c r="H59" s="346"/>
      <c r="I59" s="475"/>
      <c r="J59" s="475"/>
      <c r="K59" s="475"/>
      <c r="L59" s="475"/>
      <c r="M59" s="475"/>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row>
    <row r="60" spans="1:40" ht="18">
      <c r="A60" s="352" t="s">
        <v>989</v>
      </c>
      <c r="B60" s="345"/>
      <c r="C60" s="345"/>
      <c r="D60" s="345"/>
      <c r="E60" s="345"/>
      <c r="F60" s="345"/>
      <c r="G60" s="440"/>
      <c r="H60" s="440"/>
      <c r="I60" s="473" t="s">
        <v>800</v>
      </c>
      <c r="J60" s="473"/>
      <c r="K60" s="473"/>
      <c r="L60" s="473"/>
      <c r="M60" s="473"/>
    </row>
    <row r="61" spans="1:40" s="450" customFormat="1" ht="15.75">
      <c r="A61" s="352" t="s">
        <v>990</v>
      </c>
      <c r="B61" s="346"/>
      <c r="C61" s="346"/>
      <c r="D61" s="346"/>
      <c r="E61" s="346"/>
      <c r="F61" s="346"/>
      <c r="G61" s="440"/>
      <c r="H61" s="440"/>
      <c r="I61" s="473" t="s">
        <v>800</v>
      </c>
      <c r="J61" s="473"/>
      <c r="K61" s="473"/>
      <c r="L61" s="473"/>
      <c r="M61" s="473"/>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s="454" customFormat="1" ht="15.75">
      <c r="A62" s="352" t="s">
        <v>1006</v>
      </c>
      <c r="B62" s="346"/>
      <c r="C62" s="346"/>
      <c r="D62" s="346"/>
      <c r="E62" s="346"/>
      <c r="F62" s="346"/>
      <c r="G62" s="440"/>
      <c r="H62" s="440"/>
      <c r="I62" s="473" t="s">
        <v>800</v>
      </c>
      <c r="J62" s="473"/>
      <c r="K62" s="473"/>
      <c r="L62" s="473"/>
      <c r="M62" s="473"/>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row>
    <row r="63" spans="1:40" ht="12" customHeight="1">
      <c r="A63" s="483"/>
      <c r="B63" s="444"/>
      <c r="C63" s="444"/>
      <c r="D63" s="444"/>
      <c r="E63" s="444"/>
      <c r="F63" s="444"/>
      <c r="G63" s="444"/>
      <c r="H63" s="444"/>
    </row>
    <row r="64" spans="1:40" ht="15.75" customHeight="1">
      <c r="A64" s="495"/>
      <c r="B64" s="361" t="s">
        <v>784</v>
      </c>
      <c r="C64" s="361"/>
      <c r="D64" s="361"/>
      <c r="E64" s="361"/>
      <c r="F64" s="361"/>
      <c r="G64" s="361"/>
      <c r="H64" s="361"/>
      <c r="I64" s="454" t="s">
        <v>800</v>
      </c>
      <c r="J64" s="454"/>
      <c r="K64" s="454"/>
      <c r="L64" s="454"/>
      <c r="M64" s="454"/>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row>
    <row r="65" spans="1:40" ht="15.75" customHeight="1">
      <c r="A65" s="496"/>
      <c r="B65" s="367">
        <v>1</v>
      </c>
      <c r="C65" s="367">
        <v>2</v>
      </c>
      <c r="D65" s="367">
        <v>3</v>
      </c>
      <c r="E65" s="367">
        <v>4</v>
      </c>
      <c r="F65" s="367">
        <v>5</v>
      </c>
      <c r="G65" s="367">
        <v>6</v>
      </c>
      <c r="H65" s="366" t="s">
        <v>998</v>
      </c>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row>
    <row r="66" spans="1:40" ht="15.75" customHeight="1">
      <c r="A66" s="349" t="s">
        <v>885</v>
      </c>
      <c r="B66" s="478">
        <f>+'NEW...Tables 91-112'!J41+'NEW...Tables 91-112'!K41</f>
        <v>78.0449591280654</v>
      </c>
      <c r="C66" s="478">
        <f>+'NEW...Tables 91-112'!J72+'NEW...Tables 91-112'!K72</f>
        <v>63.616755312630211</v>
      </c>
      <c r="D66" s="478">
        <f>+'NEW...Tables 91-112'!J102+'NEW...Tables 91-112'!K102</f>
        <v>55.272126905660741</v>
      </c>
      <c r="E66" s="478">
        <f>+'NEW...Tables 91-112'!J133+'NEW...Tables 91-112'!K133</f>
        <v>64.682755447739353</v>
      </c>
      <c r="F66" s="478">
        <f>+'NEW...Tables 91-112'!J164+'NEW...Tables 91-112'!K164</f>
        <v>14.796580931521717</v>
      </c>
      <c r="G66" s="478">
        <f>+'NEW...Tables 91-112'!J194+'NEW...Tables 91-112'!K194</f>
        <v>1.4563106796116505</v>
      </c>
      <c r="H66" s="459">
        <f>+'NEW...Tables 91-112'!J9+'NEW...Tables 91-112'!K9</f>
        <v>62.613145525844558</v>
      </c>
      <c r="I66" s="479"/>
      <c r="J66" s="479"/>
      <c r="K66" s="479"/>
      <c r="L66" s="479"/>
      <c r="M66" s="479"/>
    </row>
    <row r="67" spans="1:40" ht="15.75" customHeight="1">
      <c r="A67" s="349" t="s">
        <v>886</v>
      </c>
      <c r="B67" s="455">
        <f>+'NEW...Tables 91-112'!J42+'NEW...Tables 91-112'!K42</f>
        <v>69.592354935144527</v>
      </c>
      <c r="C67" s="455">
        <f>+'NEW...Tables 91-112'!J73+'NEW...Tables 91-112'!K73</f>
        <v>71.413694350429566</v>
      </c>
      <c r="D67" s="455">
        <f>+'NEW...Tables 91-112'!J103+'NEW...Tables 91-112'!K103</f>
        <v>31.535208331932576</v>
      </c>
      <c r="E67" s="455">
        <f>+'NEW...Tables 91-112'!J134+'NEW...Tables 91-112'!K134</f>
        <v>27.490756470470672</v>
      </c>
      <c r="F67" s="455">
        <f>+'NEW...Tables 91-112'!J165+'NEW...Tables 91-112'!K165</f>
        <v>14.759192128430865</v>
      </c>
      <c r="G67" s="455">
        <f>+'NEW...Tables 91-112'!J195+'NEW...Tables 91-112'!K195</f>
        <v>70.68757539203861</v>
      </c>
      <c r="H67" s="457">
        <f>+'NEW...Tables 91-112'!J10+'NEW...Tables 91-112'!K10</f>
        <v>46.365909098278529</v>
      </c>
      <c r="I67" s="479"/>
      <c r="J67" s="479"/>
      <c r="K67" s="479"/>
      <c r="L67" s="479"/>
      <c r="M67" s="479"/>
    </row>
    <row r="68" spans="1:40" ht="15.75" customHeight="1">
      <c r="A68" s="349" t="s">
        <v>887</v>
      </c>
      <c r="B68" s="455">
        <f>+'NEW...Tables 91-112'!J43+'NEW...Tables 91-112'!K43</f>
        <v>88.135487977149594</v>
      </c>
      <c r="C68" s="455">
        <f>+'NEW...Tables 91-112'!J74+'NEW...Tables 91-112'!K74</f>
        <v>0</v>
      </c>
      <c r="D68" s="455">
        <f>+'NEW...Tables 91-112'!J104+'NEW...Tables 91-112'!K104</f>
        <v>89.547038327526124</v>
      </c>
      <c r="E68" s="455">
        <f>+'NEW...Tables 91-112'!J135+'NEW...Tables 91-112'!K135</f>
        <v>0</v>
      </c>
      <c r="F68" s="455">
        <f>+'NEW...Tables 91-112'!J166+'NEW...Tables 91-112'!K166</f>
        <v>0</v>
      </c>
      <c r="G68" s="455">
        <f>+'NEW...Tables 91-112'!J196+'NEW...Tables 91-112'!K196</f>
        <v>0</v>
      </c>
      <c r="H68" s="457">
        <f>+'NEW...Tables 91-112'!J11+'NEW...Tables 91-112'!K11</f>
        <v>88.24564918708495</v>
      </c>
      <c r="I68" s="479"/>
      <c r="J68" s="479"/>
      <c r="K68" s="479"/>
      <c r="L68" s="479"/>
      <c r="M68" s="479"/>
    </row>
    <row r="69" spans="1:40" ht="15.75" customHeight="1">
      <c r="A69" s="349" t="s">
        <v>888</v>
      </c>
      <c r="B69" s="455">
        <f>+'NEW...Tables 91-112'!J44+'NEW...Tables 91-112'!K44</f>
        <v>0</v>
      </c>
      <c r="C69" s="455">
        <f>+'NEW...Tables 91-112'!J75+'NEW...Tables 91-112'!K75</f>
        <v>0</v>
      </c>
      <c r="D69" s="455">
        <f>+'NEW...Tables 91-112'!J105+'NEW...Tables 91-112'!K105</f>
        <v>0</v>
      </c>
      <c r="E69" s="455">
        <f>+'NEW...Tables 91-112'!J136+'NEW...Tables 91-112'!K136</f>
        <v>0</v>
      </c>
      <c r="F69" s="455">
        <f>+'NEW...Tables 91-112'!J167+'NEW...Tables 91-112'!K167</f>
        <v>0</v>
      </c>
      <c r="G69" s="455">
        <f>+'NEW...Tables 91-112'!J197+'NEW...Tables 91-112'!K197</f>
        <v>0</v>
      </c>
      <c r="H69" s="457">
        <f>+'NEW...Tables 91-112'!J12+'NEW...Tables 91-112'!K12</f>
        <v>0</v>
      </c>
      <c r="I69" s="479"/>
      <c r="J69" s="479"/>
      <c r="K69" s="479"/>
      <c r="L69" s="479"/>
      <c r="M69" s="479"/>
    </row>
    <row r="70" spans="1:40" ht="15.75" customHeight="1">
      <c r="A70" s="349"/>
      <c r="B70" s="455"/>
      <c r="C70" s="455"/>
      <c r="D70" s="455"/>
      <c r="E70" s="455"/>
      <c r="F70" s="455"/>
      <c r="G70" s="455"/>
      <c r="H70" s="457"/>
      <c r="I70" s="479"/>
      <c r="J70" s="479"/>
      <c r="K70" s="479"/>
      <c r="L70" s="479"/>
      <c r="M70" s="479"/>
    </row>
    <row r="71" spans="1:40" ht="15.75" customHeight="1">
      <c r="A71" s="349" t="s">
        <v>889</v>
      </c>
      <c r="B71" s="455">
        <f>+'NEW...Tables 91-112'!J46+'NEW...Tables 91-112'!K46</f>
        <v>96.227988044295813</v>
      </c>
      <c r="C71" s="455">
        <f>+'NEW...Tables 91-112'!J77+'NEW...Tables 91-112'!K77</f>
        <v>89.152342817555123</v>
      </c>
      <c r="D71" s="455">
        <f>+'NEW...Tables 91-112'!J107+'NEW...Tables 91-112'!K107</f>
        <v>34.893011577625884</v>
      </c>
      <c r="E71" s="455">
        <f>+'NEW...Tables 91-112'!J138+'NEW...Tables 91-112'!K138</f>
        <v>81.701299770790158</v>
      </c>
      <c r="F71" s="455">
        <f>+'NEW...Tables 91-112'!J169+'NEW...Tables 91-112'!K169</f>
        <v>81.958627913066252</v>
      </c>
      <c r="G71" s="455">
        <f>+'NEW...Tables 91-112'!J199+'NEW...Tables 91-112'!K199</f>
        <v>8.9775561097256862</v>
      </c>
      <c r="H71" s="457">
        <f>+'NEW...Tables 91-112'!J14+'NEW...Tables 91-112'!K14</f>
        <v>82.252227632147978</v>
      </c>
      <c r="I71" s="479"/>
      <c r="J71" s="479"/>
      <c r="K71" s="479"/>
      <c r="L71" s="479"/>
      <c r="M71" s="479"/>
    </row>
    <row r="72" spans="1:40" ht="15.75" customHeight="1">
      <c r="A72" s="349" t="s">
        <v>890</v>
      </c>
      <c r="B72" s="455">
        <f>+'NEW...Tables 91-112'!J47+'NEW...Tables 91-112'!K47</f>
        <v>78.67448207418434</v>
      </c>
      <c r="C72" s="455">
        <f>+'NEW...Tables 91-112'!J78+'NEW...Tables 91-112'!K78</f>
        <v>0</v>
      </c>
      <c r="D72" s="455">
        <f>+'NEW...Tables 91-112'!J108+'NEW...Tables 91-112'!K108</f>
        <v>48.815476152271174</v>
      </c>
      <c r="E72" s="455">
        <f>+'NEW...Tables 91-112'!J139+'NEW...Tables 91-112'!K139</f>
        <v>80.883567299752272</v>
      </c>
      <c r="F72" s="455">
        <f>+'NEW...Tables 91-112'!J170+'NEW...Tables 91-112'!K170</f>
        <v>0</v>
      </c>
      <c r="G72" s="455">
        <f>+'NEW...Tables 91-112'!J200+'NEW...Tables 91-112'!K200</f>
        <v>0</v>
      </c>
      <c r="H72" s="457">
        <f>+'NEW...Tables 91-112'!J15+'NEW...Tables 91-112'!K15</f>
        <v>64.128185623100208</v>
      </c>
      <c r="I72" s="479"/>
      <c r="J72" s="479"/>
      <c r="K72" s="479"/>
      <c r="L72" s="479"/>
      <c r="M72" s="479"/>
    </row>
    <row r="73" spans="1:40" ht="15.75" customHeight="1">
      <c r="A73" s="349" t="s">
        <v>891</v>
      </c>
      <c r="B73" s="455">
        <f>+'NEW...Tables 91-112'!J48+'NEW...Tables 91-112'!K48</f>
        <v>95.658944909480226</v>
      </c>
      <c r="C73" s="455">
        <f>+'NEW...Tables 91-112'!J79+'NEW...Tables 91-112'!K79</f>
        <v>83.188461673593508</v>
      </c>
      <c r="D73" s="455">
        <f>+'NEW...Tables 91-112'!J109+'NEW...Tables 91-112'!K109</f>
        <v>61.226579653268374</v>
      </c>
      <c r="E73" s="455">
        <f>+'NEW...Tables 91-112'!J140+'NEW...Tables 91-112'!K140</f>
        <v>44.19509581043404</v>
      </c>
      <c r="F73" s="455">
        <f>+'NEW...Tables 91-112'!J171+'NEW...Tables 91-112'!K171</f>
        <v>86.111111111111114</v>
      </c>
      <c r="G73" s="455">
        <f>+'NEW...Tables 91-112'!J201+'NEW...Tables 91-112'!K201</f>
        <v>0</v>
      </c>
      <c r="H73" s="457">
        <f>+'NEW...Tables 91-112'!J16+'NEW...Tables 91-112'!K16</f>
        <v>73.789683272098372</v>
      </c>
      <c r="I73" s="479"/>
      <c r="J73" s="479"/>
      <c r="K73" s="479"/>
      <c r="L73" s="479"/>
      <c r="M73" s="479"/>
    </row>
    <row r="74" spans="1:40" ht="15.75" customHeight="1">
      <c r="A74" s="349" t="s">
        <v>892</v>
      </c>
      <c r="B74" s="455">
        <f>+'NEW...Tables 91-112'!J49+'NEW...Tables 91-112'!K49</f>
        <v>90.012317637533826</v>
      </c>
      <c r="C74" s="455">
        <f>+'NEW...Tables 91-112'!J80+'NEW...Tables 91-112'!K80</f>
        <v>77.813655538774029</v>
      </c>
      <c r="D74" s="455">
        <f>+'NEW...Tables 91-112'!J110+'NEW...Tables 91-112'!K110</f>
        <v>76.701408100814149</v>
      </c>
      <c r="E74" s="455">
        <f>+'NEW...Tables 91-112'!J141+'NEW...Tables 91-112'!K141</f>
        <v>65.632355378750205</v>
      </c>
      <c r="F74" s="455">
        <f>+'NEW...Tables 91-112'!J172+'NEW...Tables 91-112'!K172</f>
        <v>87.200479233226829</v>
      </c>
      <c r="G74" s="455">
        <f>+'NEW...Tables 91-112'!J202+'NEW...Tables 91-112'!K202</f>
        <v>100</v>
      </c>
      <c r="H74" s="457">
        <f>+'NEW...Tables 91-112'!J17+'NEW...Tables 91-112'!K17</f>
        <v>53.528201601947671</v>
      </c>
      <c r="I74" s="479"/>
      <c r="J74" s="479"/>
      <c r="K74" s="479"/>
      <c r="L74" s="479"/>
      <c r="M74" s="479"/>
    </row>
    <row r="75" spans="1:40" ht="15.75" customHeight="1">
      <c r="A75" s="349"/>
      <c r="B75" s="455"/>
      <c r="C75" s="455"/>
      <c r="D75" s="455"/>
      <c r="E75" s="455"/>
      <c r="F75" s="455"/>
      <c r="G75" s="455"/>
      <c r="H75" s="457"/>
      <c r="I75" s="479"/>
      <c r="J75" s="479"/>
      <c r="K75" s="479"/>
      <c r="L75" s="479"/>
      <c r="M75" s="479"/>
    </row>
    <row r="76" spans="1:40" ht="15.75" customHeight="1">
      <c r="A76" s="349" t="s">
        <v>893</v>
      </c>
      <c r="B76" s="455">
        <f>+'NEW...Tables 91-112'!J51+'NEW...Tables 91-112'!K51</f>
        <v>70.129409348098079</v>
      </c>
      <c r="C76" s="455">
        <f>+'NEW...Tables 91-112'!J82+'NEW...Tables 91-112'!K82</f>
        <v>77.906347894409237</v>
      </c>
      <c r="D76" s="455">
        <f>+'NEW...Tables 91-112'!J112+'NEW...Tables 91-112'!K112</f>
        <v>0</v>
      </c>
      <c r="E76" s="455">
        <f>+'NEW...Tables 91-112'!J143+'NEW...Tables 91-112'!K143</f>
        <v>20.951302378255946</v>
      </c>
      <c r="F76" s="455">
        <f>+'NEW...Tables 91-112'!J174+'NEW...Tables 91-112'!K174</f>
        <v>65.899311531841647</v>
      </c>
      <c r="G76" s="455">
        <f>+'NEW...Tables 91-112'!J204+'NEW...Tables 91-112'!K204</f>
        <v>0</v>
      </c>
      <c r="H76" s="457">
        <f>+'NEW...Tables 91-112'!J19+'NEW...Tables 91-112'!K19</f>
        <v>65.430425216107622</v>
      </c>
      <c r="I76" s="479"/>
      <c r="J76" s="479"/>
      <c r="K76" s="479"/>
      <c r="L76" s="479"/>
      <c r="M76" s="479"/>
    </row>
    <row r="77" spans="1:40" ht="15.75" customHeight="1">
      <c r="A77" s="349" t="s">
        <v>894</v>
      </c>
      <c r="B77" s="455">
        <f>+'NEW...Tables 91-112'!J52+'NEW...Tables 91-112'!K52</f>
        <v>81.008438163275869</v>
      </c>
      <c r="C77" s="455">
        <f>+'NEW...Tables 91-112'!J83+'NEW...Tables 91-112'!K83</f>
        <v>45.965485354693826</v>
      </c>
      <c r="D77" s="455">
        <f>+'NEW...Tables 91-112'!J113+'NEW...Tables 91-112'!K113</f>
        <v>65.35344144458935</v>
      </c>
      <c r="E77" s="455">
        <f>+'NEW...Tables 91-112'!J144+'NEW...Tables 91-112'!K144</f>
        <v>48.113394568162292</v>
      </c>
      <c r="F77" s="455">
        <f>+'NEW...Tables 91-112'!J175+'NEW...Tables 91-112'!K175</f>
        <v>56.45297436580924</v>
      </c>
      <c r="G77" s="455">
        <f>+'NEW...Tables 91-112'!J205+'NEW...Tables 91-112'!K205</f>
        <v>88.246816846229194</v>
      </c>
      <c r="H77" s="457">
        <f>+'NEW...Tables 91-112'!J20+'NEW...Tables 91-112'!K20</f>
        <v>72.552161479707863</v>
      </c>
      <c r="I77" s="479"/>
      <c r="J77" s="479"/>
      <c r="K77" s="479"/>
      <c r="L77" s="479"/>
      <c r="M77" s="479"/>
    </row>
    <row r="78" spans="1:40" ht="15.75" customHeight="1">
      <c r="A78" s="349" t="s">
        <v>895</v>
      </c>
      <c r="B78" s="455">
        <f>+'NEW...Tables 91-112'!J53+'NEW...Tables 91-112'!K53</f>
        <v>78.952458373044806</v>
      </c>
      <c r="C78" s="455">
        <f>+'NEW...Tables 91-112'!J84+'NEW...Tables 91-112'!K84</f>
        <v>0</v>
      </c>
      <c r="D78" s="455">
        <f>+'NEW...Tables 91-112'!J114+'NEW...Tables 91-112'!K114</f>
        <v>78.809244908992611</v>
      </c>
      <c r="E78" s="455">
        <f>+'NEW...Tables 91-112'!J145+'NEW...Tables 91-112'!K145</f>
        <v>36.908469996622514</v>
      </c>
      <c r="F78" s="455">
        <f>+'NEW...Tables 91-112'!J176+'NEW...Tables 91-112'!K176</f>
        <v>48.054444182945012</v>
      </c>
      <c r="G78" s="455">
        <f>+'NEW...Tables 91-112'!J206+'NEW...Tables 91-112'!K206</f>
        <v>91.071428571428569</v>
      </c>
      <c r="H78" s="457">
        <f>+'NEW...Tables 91-112'!J21+'NEW...Tables 91-112'!K21</f>
        <v>72.818012029021375</v>
      </c>
      <c r="I78" s="479"/>
      <c r="J78" s="479"/>
      <c r="K78" s="479"/>
      <c r="L78" s="479"/>
      <c r="M78" s="479"/>
    </row>
    <row r="79" spans="1:40" ht="15.75" customHeight="1">
      <c r="A79" s="349" t="s">
        <v>896</v>
      </c>
      <c r="B79" s="455">
        <f>+'NEW...Tables 91-112'!J54+'NEW...Tables 91-112'!K54</f>
        <v>78.514950068820099</v>
      </c>
      <c r="C79" s="455">
        <f>+'NEW...Tables 91-112'!J85+'NEW...Tables 91-112'!K85</f>
        <v>0</v>
      </c>
      <c r="D79" s="455">
        <f>+'NEW...Tables 91-112'!J115+'NEW...Tables 91-112'!K115</f>
        <v>73.441504997060548</v>
      </c>
      <c r="E79" s="455">
        <f>+'NEW...Tables 91-112'!J146+'NEW...Tables 91-112'!K146</f>
        <v>0</v>
      </c>
      <c r="F79" s="455">
        <f>+'NEW...Tables 91-112'!J177+'NEW...Tables 91-112'!K177</f>
        <v>62.044418078677097</v>
      </c>
      <c r="G79" s="455">
        <f>+'NEW...Tables 91-112'!J207+'NEW...Tables 91-112'!K207</f>
        <v>34.880860876249038</v>
      </c>
      <c r="H79" s="457">
        <f>+'NEW...Tables 91-112'!J22+'NEW...Tables 91-112'!K22</f>
        <v>75.811980743290661</v>
      </c>
      <c r="I79" s="479"/>
      <c r="J79" s="479"/>
      <c r="K79" s="479"/>
      <c r="L79" s="479"/>
      <c r="M79" s="479"/>
    </row>
    <row r="80" spans="1:40" ht="15.75" customHeight="1">
      <c r="A80" s="349"/>
      <c r="B80" s="455"/>
      <c r="C80" s="455"/>
      <c r="D80" s="455"/>
      <c r="E80" s="455"/>
      <c r="F80" s="455"/>
      <c r="G80" s="455"/>
      <c r="H80" s="457"/>
      <c r="I80" s="479"/>
      <c r="J80" s="479"/>
      <c r="K80" s="479"/>
      <c r="L80" s="479"/>
      <c r="M80" s="479"/>
    </row>
    <row r="81" spans="1:40" ht="15.75" customHeight="1">
      <c r="A81" s="349" t="s">
        <v>897</v>
      </c>
      <c r="B81" s="455">
        <f>+'NEW...Tables 91-112'!J56+'NEW...Tables 91-112'!K56</f>
        <v>71.146329424634132</v>
      </c>
      <c r="C81" s="455">
        <f>+'NEW...Tables 91-112'!J87+'NEW...Tables 91-112'!K87</f>
        <v>58.375330089668324</v>
      </c>
      <c r="D81" s="455">
        <f>+'NEW...Tables 91-112'!J117+'NEW...Tables 91-112'!K117</f>
        <v>43.80495744944357</v>
      </c>
      <c r="E81" s="455">
        <f>+'NEW...Tables 91-112'!J148+'NEW...Tables 91-112'!K148</f>
        <v>0</v>
      </c>
      <c r="F81" s="455">
        <f>+'NEW...Tables 91-112'!J179+'NEW...Tables 91-112'!K179</f>
        <v>13.023531152878496</v>
      </c>
      <c r="G81" s="455">
        <f>+'NEW...Tables 91-112'!J209+'NEW...Tables 91-112'!K209</f>
        <v>0</v>
      </c>
      <c r="H81" s="457">
        <f>+'NEW...Tables 91-112'!J24+'NEW...Tables 91-112'!K24</f>
        <v>60.8539362753924</v>
      </c>
      <c r="I81" s="479"/>
      <c r="J81" s="479"/>
      <c r="K81" s="479"/>
      <c r="L81" s="479"/>
      <c r="M81" s="479"/>
    </row>
    <row r="82" spans="1:40" s="396" customFormat="1">
      <c r="A82" s="349" t="s">
        <v>898</v>
      </c>
      <c r="B82" s="455">
        <f>+'NEW...Tables 91-112'!J57+'NEW...Tables 91-112'!K57</f>
        <v>79.506865450295578</v>
      </c>
      <c r="C82" s="455">
        <f>+'NEW...Tables 91-112'!J88+'NEW...Tables 91-112'!K88</f>
        <v>62.889487253944367</v>
      </c>
      <c r="D82" s="455">
        <f>+'NEW...Tables 91-112'!J118+'NEW...Tables 91-112'!K118</f>
        <v>38.594959741815764</v>
      </c>
      <c r="E82" s="455">
        <f>+'NEW...Tables 91-112'!J149+'NEW...Tables 91-112'!K149</f>
        <v>27.703768624014021</v>
      </c>
      <c r="F82" s="455">
        <f>+'NEW...Tables 91-112'!J180+'NEW...Tables 91-112'!K180</f>
        <v>24.242867287689545</v>
      </c>
      <c r="G82" s="455">
        <f>+'NEW...Tables 91-112'!J210+'NEW...Tables 91-112'!K210</f>
        <v>0</v>
      </c>
      <c r="H82" s="457">
        <f>+'NEW...Tables 91-112'!J25+'NEW...Tables 91-112'!K25</f>
        <v>63.719183337355574</v>
      </c>
      <c r="I82" s="479"/>
      <c r="J82" s="479"/>
      <c r="K82" s="479"/>
      <c r="L82" s="479"/>
      <c r="M82" s="479"/>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row>
    <row r="83" spans="1:40" s="396" customFormat="1">
      <c r="A83" s="349" t="s">
        <v>899</v>
      </c>
      <c r="B83" s="455">
        <f>+'NEW...Tables 91-112'!J58+'NEW...Tables 91-112'!K58</f>
        <v>86.044940895904091</v>
      </c>
      <c r="C83" s="455">
        <f>+'NEW...Tables 91-112'!J89+'NEW...Tables 91-112'!K89</f>
        <v>90.596410906266598</v>
      </c>
      <c r="D83" s="455">
        <f>+'NEW...Tables 91-112'!J119+'NEW...Tables 91-112'!K119</f>
        <v>77.280431347851547</v>
      </c>
      <c r="E83" s="455">
        <f>+'NEW...Tables 91-112'!J150+'NEW...Tables 91-112'!K150</f>
        <v>0</v>
      </c>
      <c r="F83" s="455">
        <f>+'NEW...Tables 91-112'!J181+'NEW...Tables 91-112'!K181</f>
        <v>100</v>
      </c>
      <c r="G83" s="455">
        <f>+'NEW...Tables 91-112'!J211+'NEW...Tables 91-112'!K211</f>
        <v>0</v>
      </c>
      <c r="H83" s="457">
        <f>+'NEW...Tables 91-112'!J26+'NEW...Tables 91-112'!K26</f>
        <v>85.502885855162603</v>
      </c>
      <c r="I83" s="479"/>
      <c r="J83" s="479"/>
      <c r="K83" s="479"/>
      <c r="L83" s="479"/>
      <c r="M83" s="479"/>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row>
    <row r="84" spans="1:40" s="396" customFormat="1">
      <c r="A84" s="355" t="s">
        <v>900</v>
      </c>
      <c r="B84" s="461">
        <f>+'NEW...Tables 91-112'!J59+'NEW...Tables 91-112'!K59</f>
        <v>70.637298477814724</v>
      </c>
      <c r="C84" s="461">
        <f>+'NEW...Tables 91-112'!J90+'NEW...Tables 91-112'!K90</f>
        <v>0</v>
      </c>
      <c r="D84" s="461">
        <f>+'NEW...Tables 91-112'!J120+'NEW...Tables 91-112'!K120</f>
        <v>76.348901376710046</v>
      </c>
      <c r="E84" s="461">
        <f>+'NEW...Tables 91-112'!J151+'NEW...Tables 91-112'!K151</f>
        <v>0</v>
      </c>
      <c r="F84" s="461">
        <f>+'NEW...Tables 91-112'!J182+'NEW...Tables 91-112'!K182</f>
        <v>51.335338619998183</v>
      </c>
      <c r="G84" s="461">
        <f>+'NEW...Tables 91-112'!J212+'NEW...Tables 91-112'!K212</f>
        <v>73.131955484896665</v>
      </c>
      <c r="H84" s="463">
        <f>+'NEW...Tables 91-112'!J27+'NEW...Tables 91-112'!K27</f>
        <v>70.510015148964825</v>
      </c>
      <c r="I84" s="479"/>
      <c r="J84" s="479"/>
      <c r="K84" s="479"/>
      <c r="L84" s="479"/>
      <c r="M84" s="479"/>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row>
    <row r="85" spans="1:40" s="349" customFormat="1" ht="35.25" customHeight="1">
      <c r="A85" s="500" t="s">
        <v>1003</v>
      </c>
      <c r="B85" s="500"/>
      <c r="C85" s="500"/>
      <c r="D85" s="500"/>
      <c r="E85" s="500"/>
      <c r="F85" s="500"/>
      <c r="G85" s="500"/>
      <c r="H85" s="500"/>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row>
    <row r="86" spans="1:40">
      <c r="A86" s="396"/>
      <c r="B86" s="396"/>
      <c r="C86" s="396"/>
      <c r="D86" s="396"/>
      <c r="E86" s="396"/>
      <c r="F86" s="396"/>
      <c r="G86" s="396"/>
      <c r="H86" s="402" t="s">
        <v>1007</v>
      </c>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row>
    <row r="87" spans="1:40" ht="18">
      <c r="A87" s="344" t="s">
        <v>992</v>
      </c>
      <c r="B87" s="345"/>
      <c r="C87" s="345"/>
      <c r="D87" s="345"/>
      <c r="E87" s="345"/>
      <c r="F87" s="345"/>
      <c r="G87" s="440"/>
      <c r="H87" s="440"/>
      <c r="I87" s="473" t="s">
        <v>800</v>
      </c>
      <c r="J87" s="473"/>
      <c r="K87" s="473"/>
      <c r="L87" s="473"/>
      <c r="M87" s="473"/>
    </row>
    <row r="88" spans="1:40">
      <c r="A88" s="350"/>
      <c r="B88" s="346"/>
      <c r="C88" s="346"/>
      <c r="D88" s="346"/>
      <c r="E88" s="346"/>
      <c r="F88" s="346"/>
      <c r="G88" s="346"/>
      <c r="H88" s="346"/>
      <c r="I88" s="475"/>
      <c r="J88" s="475"/>
      <c r="K88" s="475"/>
      <c r="L88" s="475"/>
      <c r="M88" s="475"/>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row>
    <row r="89" spans="1:40" s="454" customFormat="1" ht="18">
      <c r="A89" s="352" t="s">
        <v>993</v>
      </c>
      <c r="B89" s="345"/>
      <c r="C89" s="345"/>
      <c r="D89" s="345"/>
      <c r="E89" s="345"/>
      <c r="F89" s="345"/>
      <c r="G89" s="440"/>
      <c r="H89" s="440"/>
      <c r="I89" s="473" t="s">
        <v>800</v>
      </c>
      <c r="J89" s="473"/>
      <c r="K89" s="473"/>
      <c r="L89" s="473"/>
      <c r="M89" s="473"/>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row>
    <row r="90" spans="1:40" s="454" customFormat="1" ht="15.75">
      <c r="A90" s="352" t="s">
        <v>1006</v>
      </c>
      <c r="B90" s="346"/>
      <c r="C90" s="346"/>
      <c r="D90" s="346"/>
      <c r="E90" s="346"/>
      <c r="F90" s="346"/>
      <c r="G90" s="440"/>
      <c r="H90" s="440"/>
      <c r="I90" s="473" t="s">
        <v>800</v>
      </c>
      <c r="J90" s="473"/>
      <c r="K90" s="473"/>
      <c r="L90" s="473"/>
      <c r="M90" s="473"/>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row>
    <row r="91" spans="1:40" ht="11.25" customHeight="1">
      <c r="A91" s="489"/>
      <c r="B91" s="475"/>
      <c r="C91" s="475"/>
      <c r="D91" s="475"/>
      <c r="E91" s="475"/>
      <c r="F91" s="475"/>
      <c r="G91" s="473"/>
      <c r="H91" s="473"/>
      <c r="I91" s="473"/>
      <c r="J91" s="473"/>
      <c r="K91" s="473"/>
      <c r="L91" s="473"/>
      <c r="M91" s="473"/>
    </row>
    <row r="92" spans="1:40" ht="15.75" customHeight="1">
      <c r="A92" s="485"/>
      <c r="B92" s="361" t="s">
        <v>784</v>
      </c>
      <c r="C92" s="361"/>
      <c r="D92" s="361"/>
      <c r="E92" s="361"/>
      <c r="F92" s="361"/>
      <c r="G92" s="361"/>
      <c r="H92" s="361"/>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4"/>
      <c r="AN92" s="454"/>
    </row>
    <row r="93" spans="1:40" ht="15.75" customHeight="1">
      <c r="A93" s="485"/>
      <c r="B93" s="367">
        <v>1</v>
      </c>
      <c r="C93" s="367">
        <v>2</v>
      </c>
      <c r="D93" s="367">
        <v>3</v>
      </c>
      <c r="E93" s="367">
        <v>4</v>
      </c>
      <c r="F93" s="367">
        <v>5</v>
      </c>
      <c r="G93" s="367">
        <v>6</v>
      </c>
      <c r="H93" s="366" t="s">
        <v>998</v>
      </c>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4"/>
      <c r="AN93" s="454"/>
    </row>
    <row r="94" spans="1:40" ht="15.75" customHeight="1">
      <c r="A94" s="349" t="s">
        <v>885</v>
      </c>
      <c r="B94" s="478">
        <f>+'NEW...Tables 91-112'!L41</f>
        <v>21.955040871934603</v>
      </c>
      <c r="C94" s="478">
        <f>+'NEW...Tables 91-112'!L72</f>
        <v>36.383244687369789</v>
      </c>
      <c r="D94" s="478">
        <f>+'NEW...Tables 91-112'!L102</f>
        <v>44.727873094339259</v>
      </c>
      <c r="E94" s="478">
        <f>+'NEW...Tables 91-112'!L133</f>
        <v>35.317244552260654</v>
      </c>
      <c r="F94" s="478">
        <f>+'NEW...Tables 91-112'!L164</f>
        <v>85.203419068478283</v>
      </c>
      <c r="G94" s="478">
        <f>+'NEW...Tables 91-112'!L194</f>
        <v>98.543689320388353</v>
      </c>
      <c r="H94" s="459">
        <f>+'NEW...Tables 91-112'!L9</f>
        <v>37.386854474155435</v>
      </c>
      <c r="I94" s="479"/>
      <c r="J94" s="479"/>
      <c r="K94" s="479"/>
      <c r="L94" s="479"/>
      <c r="M94" s="479"/>
    </row>
    <row r="95" spans="1:40" ht="15.75" customHeight="1">
      <c r="A95" s="349" t="s">
        <v>886</v>
      </c>
      <c r="B95" s="455">
        <f>+'NEW...Tables 91-112'!L42</f>
        <v>30.407645064855469</v>
      </c>
      <c r="C95" s="455">
        <f>+'NEW...Tables 91-112'!L73</f>
        <v>28.586305649570427</v>
      </c>
      <c r="D95" s="455">
        <f>+'NEW...Tables 91-112'!L103</f>
        <v>68.46479166806742</v>
      </c>
      <c r="E95" s="455">
        <f>+'NEW...Tables 91-112'!L134</f>
        <v>72.509243529529328</v>
      </c>
      <c r="F95" s="455">
        <f>+'NEW...Tables 91-112'!L165</f>
        <v>85.240807871569132</v>
      </c>
      <c r="G95" s="455">
        <f>+'NEW...Tables 91-112'!L195</f>
        <v>29.3124246079614</v>
      </c>
      <c r="H95" s="457">
        <f>+'NEW...Tables 91-112'!L10</f>
        <v>53.634090901721478</v>
      </c>
      <c r="I95" s="479"/>
      <c r="J95" s="479"/>
      <c r="K95" s="479"/>
      <c r="L95" s="479"/>
      <c r="M95" s="479"/>
    </row>
    <row r="96" spans="1:40" ht="15.75" customHeight="1">
      <c r="A96" s="349" t="s">
        <v>887</v>
      </c>
      <c r="B96" s="455">
        <f>+'NEW...Tables 91-112'!L43</f>
        <v>11.864512022850402</v>
      </c>
      <c r="C96" s="455">
        <f>+'NEW...Tables 91-112'!L74</f>
        <v>0</v>
      </c>
      <c r="D96" s="455">
        <f>+'NEW...Tables 91-112'!L104</f>
        <v>10.452961672473867</v>
      </c>
      <c r="E96" s="455">
        <f>+'NEW...Tables 91-112'!L135</f>
        <v>0</v>
      </c>
      <c r="F96" s="455">
        <f>+'NEW...Tables 91-112'!L166</f>
        <v>0</v>
      </c>
      <c r="G96" s="455">
        <f>+'NEW...Tables 91-112'!L196</f>
        <v>0</v>
      </c>
      <c r="H96" s="457">
        <f>+'NEW...Tables 91-112'!L11</f>
        <v>11.754350812915044</v>
      </c>
      <c r="I96" s="479"/>
      <c r="J96" s="479"/>
      <c r="K96" s="479"/>
      <c r="L96" s="479"/>
      <c r="M96" s="479"/>
    </row>
    <row r="97" spans="1:40" ht="15.75" customHeight="1">
      <c r="A97" s="349" t="s">
        <v>925</v>
      </c>
      <c r="B97" s="455">
        <f>+'NEW...Tables 91-112'!L44</f>
        <v>0</v>
      </c>
      <c r="C97" s="455">
        <f>+'NEW...Tables 91-112'!L75</f>
        <v>0</v>
      </c>
      <c r="D97" s="455">
        <f>+'NEW...Tables 91-112'!L105</f>
        <v>0</v>
      </c>
      <c r="E97" s="455">
        <f>+'NEW...Tables 91-112'!L136</f>
        <v>0</v>
      </c>
      <c r="F97" s="455">
        <f>+'NEW...Tables 91-112'!L167</f>
        <v>0</v>
      </c>
      <c r="G97" s="455">
        <f>+'NEW...Tables 91-112'!L197</f>
        <v>0</v>
      </c>
      <c r="H97" s="457">
        <f>+'NEW...Tables 91-112'!L12</f>
        <v>0</v>
      </c>
      <c r="I97" s="479"/>
      <c r="J97" s="479"/>
      <c r="K97" s="479"/>
      <c r="L97" s="479"/>
      <c r="M97" s="479"/>
    </row>
    <row r="98" spans="1:40" ht="15.75" customHeight="1">
      <c r="A98" s="349"/>
      <c r="B98" s="455"/>
      <c r="C98" s="455"/>
      <c r="D98" s="455"/>
      <c r="E98" s="455"/>
      <c r="F98" s="455"/>
      <c r="G98" s="455"/>
      <c r="H98" s="457"/>
      <c r="I98" s="479"/>
      <c r="J98" s="479"/>
      <c r="K98" s="479"/>
      <c r="L98" s="479"/>
      <c r="M98" s="479"/>
    </row>
    <row r="99" spans="1:40" ht="15.75" customHeight="1">
      <c r="A99" s="349" t="s">
        <v>889</v>
      </c>
      <c r="B99" s="455">
        <f>+'NEW...Tables 91-112'!L46</f>
        <v>5.2701967819010846</v>
      </c>
      <c r="C99" s="455">
        <f>+'NEW...Tables 91-112'!L77</f>
        <v>20.433583226693422</v>
      </c>
      <c r="D99" s="455">
        <f>+'NEW...Tables 91-112'!L107</f>
        <v>67.781838471195428</v>
      </c>
      <c r="E99" s="455">
        <f>+'NEW...Tables 91-112'!L138</f>
        <v>21.402297588492839</v>
      </c>
      <c r="F99" s="455">
        <f>+'NEW...Tables 91-112'!L169</f>
        <v>23.566378633150041</v>
      </c>
      <c r="G99" s="455">
        <f>+'NEW...Tables 91-112'!L199</f>
        <v>146.55029093931836</v>
      </c>
      <c r="H99" s="457">
        <f>+'NEW...Tables 91-112'!L14</f>
        <v>21.671418792911354</v>
      </c>
      <c r="I99" s="479"/>
      <c r="J99" s="479"/>
      <c r="K99" s="479"/>
      <c r="L99" s="479"/>
      <c r="M99" s="479"/>
    </row>
    <row r="100" spans="1:40" ht="15.75" customHeight="1">
      <c r="A100" s="349" t="s">
        <v>890</v>
      </c>
      <c r="B100" s="455">
        <f>+'NEW...Tables 91-112'!L47</f>
        <v>21.325517925815657</v>
      </c>
      <c r="C100" s="455">
        <f>+'NEW...Tables 91-112'!L78</f>
        <v>0</v>
      </c>
      <c r="D100" s="455">
        <f>+'NEW...Tables 91-112'!L108</f>
        <v>51.184523847728833</v>
      </c>
      <c r="E100" s="455">
        <f>+'NEW...Tables 91-112'!L139</f>
        <v>19.116432700247728</v>
      </c>
      <c r="F100" s="455">
        <f>+'NEW...Tables 91-112'!L170</f>
        <v>0</v>
      </c>
      <c r="G100" s="455">
        <f>+'NEW...Tables 91-112'!L200</f>
        <v>0</v>
      </c>
      <c r="H100" s="457">
        <f>+'NEW...Tables 91-112'!L15</f>
        <v>35.871814376899792</v>
      </c>
      <c r="I100" s="479"/>
      <c r="J100" s="479"/>
      <c r="K100" s="479"/>
      <c r="L100" s="479"/>
      <c r="M100" s="479"/>
    </row>
    <row r="101" spans="1:40" ht="15.75" customHeight="1">
      <c r="A101" s="349" t="s">
        <v>891</v>
      </c>
      <c r="B101" s="455">
        <f>+'NEW...Tables 91-112'!L48</f>
        <v>4.3410550905197773</v>
      </c>
      <c r="C101" s="455">
        <f>+'NEW...Tables 91-112'!L79</f>
        <v>16.811538326406492</v>
      </c>
      <c r="D101" s="455">
        <f>+'NEW...Tables 91-112'!L109</f>
        <v>38.773420346731605</v>
      </c>
      <c r="E101" s="455">
        <f>+'NEW...Tables 91-112'!L140</f>
        <v>55.804904189565953</v>
      </c>
      <c r="F101" s="455">
        <f>+'NEW...Tables 91-112'!L171</f>
        <v>13.888888888888889</v>
      </c>
      <c r="G101" s="455">
        <f>+'NEW...Tables 91-112'!L201</f>
        <v>0</v>
      </c>
      <c r="H101" s="457">
        <f>+'NEW...Tables 91-112'!L16</f>
        <v>26.21031672790161</v>
      </c>
      <c r="I101" s="479"/>
      <c r="J101" s="479"/>
      <c r="K101" s="479"/>
      <c r="L101" s="479"/>
      <c r="M101" s="479"/>
    </row>
    <row r="102" spans="1:40" ht="15.75" customHeight="1">
      <c r="A102" s="349" t="s">
        <v>892</v>
      </c>
      <c r="B102" s="455">
        <f>+'NEW...Tables 91-112'!L49</f>
        <v>9.9876823624661739</v>
      </c>
      <c r="C102" s="455">
        <f>+'NEW...Tables 91-112'!L80</f>
        <v>22.186344461225978</v>
      </c>
      <c r="D102" s="455">
        <f>+'NEW...Tables 91-112'!L110</f>
        <v>23.298591899185855</v>
      </c>
      <c r="E102" s="455">
        <f>+'NEW...Tables 91-112'!L141</f>
        <v>34.367644621249795</v>
      </c>
      <c r="F102" s="455">
        <f>+'NEW...Tables 91-112'!L172</f>
        <v>12.799520766773162</v>
      </c>
      <c r="G102" s="455">
        <f>+'NEW...Tables 91-112'!L202</f>
        <v>0</v>
      </c>
      <c r="H102" s="457">
        <f>+'NEW...Tables 91-112'!L17</f>
        <v>46.471798398052329</v>
      </c>
      <c r="I102" s="479"/>
      <c r="J102" s="479"/>
      <c r="K102" s="479"/>
      <c r="L102" s="479"/>
      <c r="M102" s="479"/>
    </row>
    <row r="103" spans="1:40" ht="15.75" customHeight="1">
      <c r="A103" s="349"/>
      <c r="B103" s="455"/>
      <c r="C103" s="455"/>
      <c r="D103" s="455"/>
      <c r="E103" s="455"/>
      <c r="F103" s="455"/>
      <c r="G103" s="455"/>
      <c r="H103" s="457"/>
      <c r="I103" s="479"/>
      <c r="J103" s="479"/>
      <c r="K103" s="479"/>
      <c r="L103" s="479"/>
      <c r="M103" s="479"/>
    </row>
    <row r="104" spans="1:40" ht="15.75" customHeight="1">
      <c r="A104" s="349" t="s">
        <v>893</v>
      </c>
      <c r="B104" s="455" t="s">
        <v>800</v>
      </c>
      <c r="C104" s="455">
        <f>+'NEW...Tables 91-112'!L82</f>
        <v>22.069162559565719</v>
      </c>
      <c r="D104" s="455">
        <f>+'NEW...Tables 91-112'!L112</f>
        <v>0</v>
      </c>
      <c r="E104" s="455">
        <f>+'NEW...Tables 91-112'!L143</f>
        <v>78.909708637907954</v>
      </c>
      <c r="F104" s="455">
        <f>+'NEW...Tables 91-112'!L174</f>
        <v>34.100688468158346</v>
      </c>
      <c r="G104" s="455">
        <f>+'NEW...Tables 91-112'!L204</f>
        <v>0</v>
      </c>
      <c r="H104" s="457">
        <f>+'NEW...Tables 91-112'!L19</f>
        <v>34.501997160130813</v>
      </c>
      <c r="I104" s="479"/>
      <c r="J104" s="479"/>
      <c r="K104" s="479"/>
      <c r="L104" s="479"/>
      <c r="M104" s="479"/>
    </row>
    <row r="105" spans="1:40" ht="15.75" customHeight="1">
      <c r="A105" s="349" t="s">
        <v>894</v>
      </c>
      <c r="B105" s="455">
        <f>+'NEW...Tables 91-112'!L52</f>
        <v>18.991561836724131</v>
      </c>
      <c r="C105" s="455">
        <f>+'NEW...Tables 91-112'!L83</f>
        <v>54.034514645306174</v>
      </c>
      <c r="D105" s="455">
        <f>+'NEW...Tables 91-112'!L113</f>
        <v>34.646558555410657</v>
      </c>
      <c r="E105" s="455">
        <f>+'NEW...Tables 91-112'!L144</f>
        <v>51.886605431837708</v>
      </c>
      <c r="F105" s="455">
        <f>+'NEW...Tables 91-112'!L175</f>
        <v>43.547025634190767</v>
      </c>
      <c r="G105" s="455">
        <f>+'NEW...Tables 91-112'!L205</f>
        <v>11.753183153770813</v>
      </c>
      <c r="H105" s="457">
        <f>+'NEW...Tables 91-112'!L20</f>
        <v>27.447838520292137</v>
      </c>
      <c r="I105" s="479"/>
      <c r="J105" s="479"/>
      <c r="K105" s="479"/>
      <c r="L105" s="479"/>
      <c r="M105" s="479"/>
    </row>
    <row r="106" spans="1:40" ht="15.75" customHeight="1">
      <c r="A106" s="349" t="s">
        <v>895</v>
      </c>
      <c r="B106" s="455">
        <f>+'NEW...Tables 91-112'!L53</f>
        <v>21.047541626955205</v>
      </c>
      <c r="C106" s="455">
        <f>+'NEW...Tables 91-112'!L84</f>
        <v>0</v>
      </c>
      <c r="D106" s="455">
        <f>+'NEW...Tables 91-112'!L114</f>
        <v>21.190755091007389</v>
      </c>
      <c r="E106" s="455">
        <f>+'NEW...Tables 91-112'!L145</f>
        <v>63.091530003377486</v>
      </c>
      <c r="F106" s="455">
        <f>+'NEW...Tables 91-112'!L176</f>
        <v>51.945555817054995</v>
      </c>
      <c r="G106" s="455">
        <f>+'NEW...Tables 91-112'!L206</f>
        <v>8.9285714285714288</v>
      </c>
      <c r="H106" s="457">
        <f>+'NEW...Tables 91-112'!L21</f>
        <v>27.181987970978621</v>
      </c>
      <c r="I106" s="479"/>
      <c r="J106" s="479"/>
      <c r="K106" s="479"/>
      <c r="L106" s="479"/>
      <c r="M106" s="479"/>
    </row>
    <row r="107" spans="1:40" ht="15.75" customHeight="1">
      <c r="A107" s="349" t="s">
        <v>896</v>
      </c>
      <c r="B107" s="455">
        <f>+'NEW...Tables 91-112'!L54</f>
        <v>21.485049931179898</v>
      </c>
      <c r="C107" s="455">
        <f>+'NEW...Tables 91-112'!L85</f>
        <v>0</v>
      </c>
      <c r="D107" s="455">
        <f>+'NEW...Tables 91-112'!L115</f>
        <v>26.558495002939448</v>
      </c>
      <c r="E107" s="455">
        <f>+'NEW...Tables 91-112'!L146</f>
        <v>0</v>
      </c>
      <c r="F107" s="455">
        <f>+'NEW...Tables 91-112'!L177</f>
        <v>37.955581921322903</v>
      </c>
      <c r="G107" s="455">
        <f>+'NEW...Tables 91-112'!L207</f>
        <v>65.119139123750955</v>
      </c>
      <c r="H107" s="457">
        <f>+'NEW...Tables 91-112'!L22</f>
        <v>24.188019256709349</v>
      </c>
      <c r="I107" s="479"/>
      <c r="J107" s="479"/>
      <c r="K107" s="479"/>
      <c r="L107" s="479"/>
      <c r="M107" s="479"/>
    </row>
    <row r="108" spans="1:40" ht="15.75" customHeight="1">
      <c r="A108" s="349"/>
      <c r="B108" s="455"/>
      <c r="C108" s="455"/>
      <c r="D108" s="455"/>
      <c r="E108" s="455"/>
      <c r="F108" s="455"/>
      <c r="G108" s="455"/>
      <c r="H108" s="457"/>
      <c r="I108" s="479"/>
      <c r="J108" s="479"/>
      <c r="K108" s="479"/>
      <c r="L108" s="479"/>
      <c r="M108" s="479"/>
    </row>
    <row r="109" spans="1:40" ht="15.75" customHeight="1">
      <c r="A109" s="349" t="s">
        <v>897</v>
      </c>
      <c r="B109" s="455">
        <f>+'NEW...Tables 91-112'!L56</f>
        <v>25.586638385293682</v>
      </c>
      <c r="C109" s="455">
        <f>+'NEW...Tables 91-112'!L87</f>
        <v>36.705971116549463</v>
      </c>
      <c r="D109" s="455">
        <f>+'NEW...Tables 91-112'!L117</f>
        <v>53.173156879743814</v>
      </c>
      <c r="E109" s="455">
        <f>+'NEW...Tables 91-112'!L148</f>
        <v>0</v>
      </c>
      <c r="F109" s="455">
        <f>+'NEW...Tables 91-112'!L179</f>
        <v>86.976468847121495</v>
      </c>
      <c r="G109" s="455">
        <f>+'NEW...Tables 91-112'!L209</f>
        <v>0</v>
      </c>
      <c r="H109" s="457">
        <f>+'NEW...Tables 91-112'!L24</f>
        <v>35.453169962821519</v>
      </c>
      <c r="I109" s="479"/>
      <c r="J109" s="479"/>
      <c r="K109" s="479"/>
      <c r="L109" s="479"/>
      <c r="M109" s="479"/>
    </row>
    <row r="110" spans="1:40" ht="15.75" customHeight="1">
      <c r="A110" s="349" t="s">
        <v>898</v>
      </c>
      <c r="B110" s="455">
        <f>+'NEW...Tables 91-112'!L57</f>
        <v>20.493134549704425</v>
      </c>
      <c r="C110" s="455">
        <f>+'NEW...Tables 91-112'!L88</f>
        <v>37.110512746055626</v>
      </c>
      <c r="D110" s="455">
        <f>+'NEW...Tables 91-112'!L118</f>
        <v>61.405040258184236</v>
      </c>
      <c r="E110" s="455">
        <f>+'NEW...Tables 91-112'!L149</f>
        <v>72.296231375985982</v>
      </c>
      <c r="F110" s="455">
        <f>+'NEW...Tables 91-112'!L180</f>
        <v>75.757132712310465</v>
      </c>
      <c r="G110" s="455">
        <f>+'NEW...Tables 91-112'!L210</f>
        <v>0</v>
      </c>
      <c r="H110" s="457">
        <f>+'NEW...Tables 91-112'!L25</f>
        <v>36.280816662644419</v>
      </c>
      <c r="I110" s="479"/>
      <c r="J110" s="479"/>
      <c r="K110" s="479"/>
      <c r="L110" s="479"/>
      <c r="M110" s="479"/>
    </row>
    <row r="111" spans="1:40" s="396" customFormat="1" ht="15.75" customHeight="1">
      <c r="A111" s="349" t="s">
        <v>899</v>
      </c>
      <c r="B111" s="455">
        <f>+'NEW...Tables 91-112'!L58</f>
        <v>13.955059104095913</v>
      </c>
      <c r="C111" s="455">
        <f>+'NEW...Tables 91-112'!L89</f>
        <v>9.4035890937333928</v>
      </c>
      <c r="D111" s="455">
        <f>+'NEW...Tables 91-112'!L119</f>
        <v>22.719568652148453</v>
      </c>
      <c r="E111" s="455">
        <f>+'NEW...Tables 91-112'!L150</f>
        <v>0</v>
      </c>
      <c r="F111" s="455">
        <f>+'NEW...Tables 91-112'!L181</f>
        <v>0</v>
      </c>
      <c r="G111" s="455">
        <f>+'NEW...Tables 91-112'!L211</f>
        <v>0</v>
      </c>
      <c r="H111" s="457">
        <f>+'NEW...Tables 91-112'!L26</f>
        <v>14.497114144837392</v>
      </c>
      <c r="I111" s="479"/>
      <c r="J111" s="479"/>
      <c r="K111" s="479"/>
      <c r="L111" s="479"/>
      <c r="M111" s="479"/>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row>
    <row r="112" spans="1:40" s="396" customFormat="1" ht="13.5" customHeight="1">
      <c r="A112" s="349" t="s">
        <v>900</v>
      </c>
      <c r="B112" s="455">
        <f>+'NEW...Tables 91-112'!L59</f>
        <v>29.362701522185279</v>
      </c>
      <c r="C112" s="455">
        <f>+'NEW...Tables 91-112'!L90</f>
        <v>0</v>
      </c>
      <c r="D112" s="455">
        <f>+'NEW...Tables 91-112'!L120</f>
        <v>23.651098623289947</v>
      </c>
      <c r="E112" s="455">
        <f>+'NEW...Tables 91-112'!L151</f>
        <v>0</v>
      </c>
      <c r="F112" s="455">
        <f>+'NEW...Tables 91-112'!L182</f>
        <v>48.664661380001824</v>
      </c>
      <c r="G112" s="455">
        <f>+'NEW...Tables 91-112'!L212</f>
        <v>26.868044515103339</v>
      </c>
      <c r="H112" s="457">
        <f>+'NEW...Tables 91-112'!L27</f>
        <v>29.489984851035182</v>
      </c>
      <c r="I112" s="479"/>
      <c r="J112" s="479"/>
      <c r="K112" s="479"/>
      <c r="L112" s="479"/>
      <c r="M112" s="479"/>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row>
    <row r="113" spans="1:40" s="396" customFormat="1" ht="35.25" customHeight="1">
      <c r="A113" s="497" t="s">
        <v>1003</v>
      </c>
      <c r="B113" s="497"/>
      <c r="C113" s="497"/>
      <c r="D113" s="497"/>
      <c r="E113" s="497"/>
      <c r="F113" s="497"/>
      <c r="G113" s="497"/>
      <c r="H113" s="497"/>
      <c r="I113" s="400"/>
      <c r="J113" s="400"/>
      <c r="K113" s="400"/>
      <c r="L113" s="400"/>
      <c r="M113" s="400"/>
    </row>
    <row r="114" spans="1:40" ht="27" customHeight="1">
      <c r="A114" s="501" t="s">
        <v>994</v>
      </c>
      <c r="B114" s="502"/>
      <c r="C114" s="502"/>
      <c r="D114" s="502"/>
      <c r="E114" s="502"/>
      <c r="F114" s="502"/>
      <c r="G114" s="502"/>
      <c r="H114" s="502"/>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row>
    <row r="115" spans="1:40" ht="9.75" customHeight="1">
      <c r="A115" s="395"/>
      <c r="B115" s="437"/>
      <c r="C115" s="437"/>
      <c r="D115" s="437"/>
      <c r="E115" s="437"/>
      <c r="F115" s="437"/>
      <c r="G115" s="437"/>
      <c r="H115" s="437"/>
      <c r="I115" s="437"/>
      <c r="J115" s="437"/>
      <c r="K115" s="437"/>
      <c r="L115" s="437"/>
      <c r="M115" s="437"/>
      <c r="N115" s="437"/>
      <c r="O115" s="437"/>
      <c r="P115" s="437"/>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row>
    <row r="116" spans="1:40">
      <c r="A116" s="396"/>
      <c r="B116" s="396"/>
      <c r="C116" s="396"/>
      <c r="D116" s="396"/>
      <c r="E116" s="396"/>
      <c r="F116" s="396"/>
      <c r="G116" s="396"/>
      <c r="H116" s="402" t="s">
        <v>1007</v>
      </c>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row>
  </sheetData>
  <mergeCells count="11">
    <mergeCell ref="A31:P31"/>
    <mergeCell ref="A1:P1"/>
    <mergeCell ref="B5:H5"/>
    <mergeCell ref="I5:M5"/>
    <mergeCell ref="A26:P26"/>
    <mergeCell ref="A29:P29"/>
    <mergeCell ref="A54:P54"/>
    <mergeCell ref="A55:P55"/>
    <mergeCell ref="A85:H85"/>
    <mergeCell ref="A113:H113"/>
    <mergeCell ref="A114:H114"/>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E5D8-F005-4FD0-BADD-5CE62099FFE2}">
  <sheetPr>
    <tabColor theme="5" tint="0.59999389629810485"/>
  </sheetPr>
  <dimension ref="A1:P113"/>
  <sheetViews>
    <sheetView showZeros="0" view="pageBreakPreview" zoomScaleNormal="100" zoomScaleSheetLayoutView="100" workbookViewId="0">
      <selection activeCell="R28" sqref="R28"/>
    </sheetView>
  </sheetViews>
  <sheetFormatPr defaultRowHeight="15"/>
  <cols>
    <col min="1" max="1" width="9.88671875" style="277" customWidth="1"/>
    <col min="2" max="8" width="5.6640625" style="277" customWidth="1"/>
    <col min="9" max="9" width="5.6640625" style="225" customWidth="1"/>
    <col min="10" max="16" width="5.6640625" style="277" customWidth="1"/>
    <col min="17" max="16384" width="8.88671875" style="277"/>
  </cols>
  <sheetData>
    <row r="1" spans="1:16" ht="18">
      <c r="A1" s="438" t="s">
        <v>981</v>
      </c>
      <c r="B1" s="345"/>
      <c r="C1" s="345"/>
      <c r="D1" s="345"/>
      <c r="E1" s="345"/>
      <c r="F1" s="345"/>
      <c r="G1" s="439"/>
      <c r="H1" s="439"/>
      <c r="I1" s="440"/>
      <c r="J1" s="439"/>
      <c r="K1" s="439"/>
      <c r="L1" s="439"/>
      <c r="M1" s="439"/>
      <c r="N1" s="439"/>
      <c r="O1" s="439"/>
      <c r="P1" s="439"/>
    </row>
    <row r="2" spans="1:16" s="349" customFormat="1" ht="12.75">
      <c r="A2" s="350"/>
      <c r="B2" s="346"/>
      <c r="C2" s="346"/>
      <c r="D2" s="346"/>
      <c r="E2" s="346"/>
      <c r="F2" s="346"/>
      <c r="G2" s="346"/>
      <c r="H2" s="346"/>
      <c r="I2" s="346"/>
      <c r="J2" s="346"/>
      <c r="K2" s="346"/>
      <c r="L2" s="346"/>
      <c r="M2" s="346"/>
      <c r="N2" s="346"/>
      <c r="O2" s="346"/>
      <c r="P2" s="346"/>
    </row>
    <row r="3" spans="1:16" ht="15.75">
      <c r="A3" s="441" t="s">
        <v>995</v>
      </c>
      <c r="B3" s="346"/>
      <c r="C3" s="346"/>
      <c r="D3" s="346"/>
      <c r="E3" s="346"/>
      <c r="F3" s="346"/>
      <c r="G3" s="439"/>
      <c r="H3" s="439"/>
      <c r="I3" s="440"/>
      <c r="J3" s="439"/>
      <c r="K3" s="439"/>
      <c r="L3" s="439"/>
      <c r="M3" s="439"/>
      <c r="N3" s="439"/>
      <c r="O3" s="439"/>
      <c r="P3" s="439"/>
    </row>
    <row r="4" spans="1:16">
      <c r="A4" s="442"/>
      <c r="B4" s="443"/>
      <c r="C4" s="443"/>
      <c r="D4" s="443"/>
      <c r="E4" s="443"/>
      <c r="F4" s="443"/>
      <c r="G4" s="443"/>
      <c r="H4" s="443"/>
      <c r="I4" s="444"/>
      <c r="J4" s="443"/>
      <c r="K4" s="443"/>
      <c r="L4" s="443"/>
    </row>
    <row r="5" spans="1:16" s="450" customFormat="1" ht="18" customHeight="1">
      <c r="A5" s="445"/>
      <c r="B5" s="510" t="s">
        <v>784</v>
      </c>
      <c r="C5" s="510"/>
      <c r="D5" s="510"/>
      <c r="E5" s="510"/>
      <c r="F5" s="510"/>
      <c r="G5" s="510"/>
      <c r="H5" s="511"/>
      <c r="I5" s="512" t="s">
        <v>787</v>
      </c>
      <c r="J5" s="510"/>
      <c r="K5" s="510"/>
      <c r="L5" s="510"/>
      <c r="M5" s="510"/>
      <c r="N5" s="448" t="s">
        <v>803</v>
      </c>
      <c r="O5" s="449"/>
      <c r="P5" s="449"/>
    </row>
    <row r="6" spans="1:16" s="454" customFormat="1" ht="25.5">
      <c r="A6" s="451"/>
      <c r="B6" s="446">
        <v>1</v>
      </c>
      <c r="C6" s="446">
        <v>2</v>
      </c>
      <c r="D6" s="446">
        <v>3</v>
      </c>
      <c r="E6" s="446">
        <v>4</v>
      </c>
      <c r="F6" s="446">
        <v>5</v>
      </c>
      <c r="G6" s="446">
        <v>6</v>
      </c>
      <c r="H6" s="452" t="s">
        <v>982</v>
      </c>
      <c r="I6" s="453" t="s">
        <v>983</v>
      </c>
      <c r="J6" s="446">
        <v>1</v>
      </c>
      <c r="K6" s="446">
        <v>2</v>
      </c>
      <c r="L6" s="446">
        <v>3</v>
      </c>
      <c r="M6" s="447" t="s">
        <v>984</v>
      </c>
      <c r="N6" s="447">
        <v>1</v>
      </c>
      <c r="O6" s="446">
        <v>2</v>
      </c>
      <c r="P6" s="447" t="s">
        <v>984</v>
      </c>
    </row>
    <row r="7" spans="1:16" ht="15.75" customHeight="1">
      <c r="A7" s="349" t="s">
        <v>885</v>
      </c>
      <c r="B7" s="455">
        <f>+'OLD...Tabs'!B41+'OLD...Tabs'!C41</f>
        <v>92.362644083383444</v>
      </c>
      <c r="C7" s="455">
        <f>+'OLD...Tabs'!B72+'OLD...Tabs'!C72</f>
        <v>82.183093388199595</v>
      </c>
      <c r="D7" s="455">
        <f>+'OLD...Tabs'!B102+'OLD...Tabs'!C102</f>
        <v>82.445914708593321</v>
      </c>
      <c r="E7" s="455">
        <f>+'OLD...Tabs'!B133+'OLD...Tabs'!C133</f>
        <v>85.86291868212102</v>
      </c>
      <c r="F7" s="455">
        <f>+'OLD...Tabs'!B164+'OLD...Tabs'!C164</f>
        <v>92.168434419490595</v>
      </c>
      <c r="G7" s="455">
        <f>+'OLD...Tabs'!B194+'OLD...Tabs'!C194</f>
        <v>24.672746626772923</v>
      </c>
      <c r="H7" s="456">
        <f>+'OLD...Tabs'!B9+'OLD...Tabs'!C9</f>
        <v>86.35091974766604</v>
      </c>
      <c r="I7" s="457">
        <f>+'OLD...Tabs'!B256+'OLD...Tabs'!C256</f>
        <v>0</v>
      </c>
      <c r="J7" s="455">
        <f>+'OLD...Tabs'!B287+'OLD...Tabs'!C287</f>
        <v>68.028887091280652</v>
      </c>
      <c r="K7" s="455">
        <f>+'OLD...Tabs'!B318+'OLD...Tabs'!C318</f>
        <v>79.821340571807113</v>
      </c>
      <c r="L7" s="455">
        <f>+'OLD...Tabs'!B349+'OLD...Tabs'!C349</f>
        <v>72.843296266981525</v>
      </c>
      <c r="M7" s="457">
        <f>+'OLD...Tabs'!B225+'OLD...Tabs'!C225</f>
        <v>75.755688108542955</v>
      </c>
      <c r="N7" s="458">
        <f>+'OLD...Tabs'!B410+'OLD...Tabs'!C410</f>
        <v>91.36839921153647</v>
      </c>
      <c r="O7" s="384">
        <f>+'OLD...Tabs'!B440+'OLD...Tabs'!C440</f>
        <v>87.171699124531003</v>
      </c>
      <c r="P7" s="459">
        <f>+'OLD...Tabs'!B380+'OLD...Tabs'!C380</f>
        <v>88.991217713007003</v>
      </c>
    </row>
    <row r="8" spans="1:16" ht="15.75" customHeight="1">
      <c r="A8" s="349" t="s">
        <v>886</v>
      </c>
      <c r="B8" s="455">
        <f>+'OLD...Tabs'!B42+'OLD...Tabs'!C42</f>
        <v>91.216034267893264</v>
      </c>
      <c r="C8" s="455">
        <f>+'OLD...Tabs'!B73+'OLD...Tabs'!C73</f>
        <v>66.885403096532983</v>
      </c>
      <c r="D8" s="455">
        <f>+'OLD...Tabs'!B103+'OLD...Tabs'!C103</f>
        <v>78.820479738181589</v>
      </c>
      <c r="E8" s="455">
        <f>+'OLD...Tabs'!B134+'OLD...Tabs'!C134</f>
        <v>78.140423052351508</v>
      </c>
      <c r="F8" s="455">
        <f>+'OLD...Tabs'!B165+'OLD...Tabs'!C165</f>
        <v>73.770540384358938</v>
      </c>
      <c r="G8" s="455">
        <f>+'OLD...Tabs'!B195+'OLD...Tabs'!C195</f>
        <v>80.673323158902193</v>
      </c>
      <c r="H8" s="460">
        <f>+'OLD...Tabs'!B10+'OLD...Tabs'!C10</f>
        <v>81.521925155406521</v>
      </c>
      <c r="I8" s="457">
        <f>+'OLD...Tabs'!B257+'OLD...Tabs'!C257</f>
        <v>0</v>
      </c>
      <c r="J8" s="455">
        <f>+'OLD...Tabs'!B288+'OLD...Tabs'!C288</f>
        <v>68.559599579805962</v>
      </c>
      <c r="K8" s="455">
        <f>+'OLD...Tabs'!B319+'OLD...Tabs'!C319</f>
        <v>76.853616009053013</v>
      </c>
      <c r="L8" s="455">
        <f>+'OLD...Tabs'!B350+'OLD...Tabs'!C350</f>
        <v>74.641093932701054</v>
      </c>
      <c r="M8" s="457">
        <f>+'OLD...Tabs'!B226+'OLD...Tabs'!C226</f>
        <v>73.051109288435129</v>
      </c>
      <c r="N8" s="458">
        <f>+'OLD...Tabs'!B411+'OLD...Tabs'!C411</f>
        <v>0</v>
      </c>
      <c r="O8" s="384">
        <f>+'OLD...Tabs'!B441+'OLD...Tabs'!C441</f>
        <v>0</v>
      </c>
      <c r="P8" s="457">
        <f>+'OLD...Tabs'!B381+'OLD...Tabs'!C381</f>
        <v>0</v>
      </c>
    </row>
    <row r="9" spans="1:16" ht="15.75" customHeight="1">
      <c r="A9" s="349" t="s">
        <v>887</v>
      </c>
      <c r="B9" s="455">
        <f>+'OLD...Tabs'!B43+'OLD...Tabs'!C43</f>
        <v>96.59201035566447</v>
      </c>
      <c r="C9" s="455">
        <f>+'OLD...Tabs'!B74+'OLD...Tabs'!C74</f>
        <v>0</v>
      </c>
      <c r="D9" s="455">
        <f>+'OLD...Tabs'!B104+'OLD...Tabs'!C104</f>
        <v>95.960528684002526</v>
      </c>
      <c r="E9" s="455">
        <f>+'OLD...Tabs'!B135+'OLD...Tabs'!C135</f>
        <v>0</v>
      </c>
      <c r="F9" s="455">
        <f>+'OLD...Tabs'!B166+'OLD...Tabs'!C166</f>
        <v>0</v>
      </c>
      <c r="G9" s="455">
        <f>+'OLD...Tabs'!B196+'OLD...Tabs'!C196</f>
        <v>0</v>
      </c>
      <c r="H9" s="460">
        <f>+'OLD...Tabs'!B11+'OLD...Tabs'!C11</f>
        <v>96.477650690085696</v>
      </c>
      <c r="I9" s="457">
        <f>+'OLD...Tabs'!B258+'OLD...Tabs'!C258</f>
        <v>0</v>
      </c>
      <c r="J9" s="455">
        <f>+'OLD...Tabs'!B289+'OLD...Tabs'!C289</f>
        <v>0</v>
      </c>
      <c r="K9" s="455">
        <f>+'OLD...Tabs'!B320+'OLD...Tabs'!C320</f>
        <v>86.055778335633576</v>
      </c>
      <c r="L9" s="455">
        <f>+'OLD...Tabs'!B351+'OLD...Tabs'!C351</f>
        <v>0</v>
      </c>
      <c r="M9" s="457">
        <f>+'OLD...Tabs'!B227+'OLD...Tabs'!C227</f>
        <v>86.055778335633576</v>
      </c>
      <c r="N9" s="458">
        <f>+'OLD...Tabs'!B412+'OLD...Tabs'!C412</f>
        <v>0</v>
      </c>
      <c r="O9" s="384">
        <f>+'OLD...Tabs'!B442+'OLD...Tabs'!C442</f>
        <v>0</v>
      </c>
      <c r="P9" s="457">
        <f>+'OLD...Tabs'!B382+'OLD...Tabs'!C382</f>
        <v>0</v>
      </c>
    </row>
    <row r="10" spans="1:16" ht="15.75" customHeight="1">
      <c r="A10" s="349" t="s">
        <v>888</v>
      </c>
      <c r="B10" s="455">
        <f>+'OLD...Tabs'!B44+'OLD...Tabs'!C44</f>
        <v>0</v>
      </c>
      <c r="C10" s="455">
        <f>+'OLD...Tabs'!B75+'OLD...Tabs'!C75</f>
        <v>0</v>
      </c>
      <c r="D10" s="455">
        <f>+'OLD...Tabs'!B105+'OLD...Tabs'!C105</f>
        <v>0</v>
      </c>
      <c r="E10" s="455">
        <f>+'OLD...Tabs'!B136+'OLD...Tabs'!C136</f>
        <v>0</v>
      </c>
      <c r="F10" s="455">
        <f>+'OLD...Tabs'!B167+'OLD...Tabs'!C167</f>
        <v>0</v>
      </c>
      <c r="G10" s="455">
        <f>+'OLD...Tabs'!B197+'OLD...Tabs'!C197</f>
        <v>0</v>
      </c>
      <c r="H10" s="460">
        <f>+'OLD...Tabs'!B12+'OLD...Tabs'!C12</f>
        <v>0</v>
      </c>
      <c r="I10" s="457">
        <f>+'OLD...Tabs'!B259+'OLD...Tabs'!C259</f>
        <v>75.300237449680125</v>
      </c>
      <c r="J10" s="455">
        <f>+'OLD...Tabs'!B290+'OLD...Tabs'!C290</f>
        <v>75.255418001106477</v>
      </c>
      <c r="K10" s="455">
        <f>+'OLD...Tabs'!B321+'OLD...Tabs'!C321</f>
        <v>0</v>
      </c>
      <c r="L10" s="455">
        <f>+'OLD...Tabs'!B352+'OLD...Tabs'!C352</f>
        <v>74.086785388566213</v>
      </c>
      <c r="M10" s="457">
        <f>+'OLD...Tabs'!B228+'OLD...Tabs'!C228</f>
        <v>75.289621167772609</v>
      </c>
      <c r="N10" s="458">
        <f>+'OLD...Tabs'!B413+'OLD...Tabs'!C413</f>
        <v>0</v>
      </c>
      <c r="O10" s="384">
        <f>+'OLD...Tabs'!B443+'OLD...Tabs'!C443</f>
        <v>0</v>
      </c>
      <c r="P10" s="457">
        <f>+'OLD...Tabs'!B383+'OLD...Tabs'!C383</f>
        <v>0</v>
      </c>
    </row>
    <row r="11" spans="1:16" ht="15.75" customHeight="1">
      <c r="A11" s="349"/>
      <c r="B11" s="455"/>
      <c r="C11" s="455"/>
      <c r="D11" s="455"/>
      <c r="E11" s="455"/>
      <c r="F11" s="455"/>
      <c r="G11" s="455"/>
      <c r="H11" s="460"/>
      <c r="I11" s="457"/>
      <c r="J11" s="455"/>
      <c r="K11" s="455"/>
      <c r="L11" s="455"/>
      <c r="M11" s="457"/>
      <c r="N11" s="458"/>
      <c r="O11" s="384"/>
      <c r="P11" s="457"/>
    </row>
    <row r="12" spans="1:16" ht="15.75" customHeight="1">
      <c r="A12" s="349" t="s">
        <v>889</v>
      </c>
      <c r="B12" s="455">
        <f>+'OLD...Tabs'!B46+'OLD...Tabs'!C46</f>
        <v>88.753375150276952</v>
      </c>
      <c r="C12" s="455">
        <f>+'OLD...Tabs'!B77+'OLD...Tabs'!C77</f>
        <v>98.726593471877891</v>
      </c>
      <c r="D12" s="455">
        <f>+'OLD...Tabs'!B107+'OLD...Tabs'!C107</f>
        <v>79.580531950864554</v>
      </c>
      <c r="E12" s="455">
        <f>+'OLD...Tabs'!B138+'OLD...Tabs'!C138</f>
        <v>85.199564110875841</v>
      </c>
      <c r="F12" s="455">
        <f>+'OLD...Tabs'!B169+'OLD...Tabs'!C169</f>
        <v>91.863571461471153</v>
      </c>
      <c r="G12" s="455">
        <f>+'OLD...Tabs'!B199+'OLD...Tabs'!C199</f>
        <v>88.064745011086472</v>
      </c>
      <c r="H12" s="460">
        <f>+'OLD...Tabs'!B14+'OLD...Tabs'!C14</f>
        <v>85.95032024940609</v>
      </c>
      <c r="I12" s="457">
        <f>+'OLD...Tabs'!B261+'OLD...Tabs'!C261</f>
        <v>78.043565458697941</v>
      </c>
      <c r="J12" s="455">
        <f>+'OLD...Tabs'!B292+'OLD...Tabs'!C292</f>
        <v>0</v>
      </c>
      <c r="K12" s="455">
        <f>+'OLD...Tabs'!B323+'OLD...Tabs'!C323</f>
        <v>0</v>
      </c>
      <c r="L12" s="455">
        <f>+'OLD...Tabs'!B354+'OLD...Tabs'!C354</f>
        <v>69.32580990368713</v>
      </c>
      <c r="M12" s="457">
        <f>+'OLD...Tabs'!B230+'OLD...Tabs'!C230</f>
        <v>77.366958622772572</v>
      </c>
      <c r="N12" s="458">
        <f>+'OLD...Tabs'!B415+'OLD...Tabs'!C415</f>
        <v>67.727248573176553</v>
      </c>
      <c r="O12" s="384">
        <f>+'OLD...Tabs'!B445+'OLD...Tabs'!C445</f>
        <v>0</v>
      </c>
      <c r="P12" s="457">
        <f>+'OLD...Tabs'!B385+'OLD...Tabs'!C385</f>
        <v>67.727248573176553</v>
      </c>
    </row>
    <row r="13" spans="1:16" ht="15.75" customHeight="1">
      <c r="A13" s="349" t="s">
        <v>890</v>
      </c>
      <c r="B13" s="455">
        <f>+'OLD...Tabs'!B47+'OLD...Tabs'!C47</f>
        <v>91.82033941885031</v>
      </c>
      <c r="C13" s="455">
        <f>+'OLD...Tabs'!B78+'OLD...Tabs'!C78</f>
        <v>0</v>
      </c>
      <c r="D13" s="455">
        <f>+'OLD...Tabs'!B108+'OLD...Tabs'!C108</f>
        <v>80.976002596631105</v>
      </c>
      <c r="E13" s="455">
        <f>+'OLD...Tabs'!B139+'OLD...Tabs'!C139</f>
        <v>75.690865361017032</v>
      </c>
      <c r="F13" s="455">
        <f>+'OLD...Tabs'!B170+'OLD...Tabs'!C170</f>
        <v>0</v>
      </c>
      <c r="G13" s="455">
        <f>+'OLD...Tabs'!B200+'OLD...Tabs'!C200</f>
        <v>0</v>
      </c>
      <c r="H13" s="460">
        <f>+'OLD...Tabs'!B15+'OLD...Tabs'!C15</f>
        <v>85.191388354266621</v>
      </c>
      <c r="I13" s="457">
        <f>+'OLD...Tabs'!B262+'OLD...Tabs'!C262</f>
        <v>0</v>
      </c>
      <c r="J13" s="455">
        <f>+'OLD...Tabs'!B293+'OLD...Tabs'!C293</f>
        <v>68.36971298125016</v>
      </c>
      <c r="K13" s="455">
        <f>+'OLD...Tabs'!B324+'OLD...Tabs'!C324</f>
        <v>55.869275644223613</v>
      </c>
      <c r="L13" s="455">
        <f>+'OLD...Tabs'!B355+'OLD...Tabs'!C355</f>
        <v>55.334819975258803</v>
      </c>
      <c r="M13" s="457">
        <f>+'OLD...Tabs'!B231+'OLD...Tabs'!C231</f>
        <v>59.721774281993561</v>
      </c>
      <c r="N13" s="458">
        <f>+'OLD...Tabs'!B416+'OLD...Tabs'!C416</f>
        <v>67.879671058932999</v>
      </c>
      <c r="O13" s="384">
        <f>+'OLD...Tabs'!B446+'OLD...Tabs'!C446</f>
        <v>0</v>
      </c>
      <c r="P13" s="457">
        <f>+'OLD...Tabs'!B386+'OLD...Tabs'!C386</f>
        <v>67.879671058932999</v>
      </c>
    </row>
    <row r="14" spans="1:16" ht="15.75" customHeight="1">
      <c r="A14" s="349" t="s">
        <v>891</v>
      </c>
      <c r="B14" s="455">
        <f>+'OLD...Tabs'!B48+'OLD...Tabs'!C48</f>
        <v>97.687609075043625</v>
      </c>
      <c r="C14" s="455">
        <f>+'OLD...Tabs'!B79+'OLD...Tabs'!C79</f>
        <v>89.944207906532498</v>
      </c>
      <c r="D14" s="455">
        <f>+'OLD...Tabs'!B109+'OLD...Tabs'!C109</f>
        <v>86.090509109561552</v>
      </c>
      <c r="E14" s="455">
        <f>+'OLD...Tabs'!B140+'OLD...Tabs'!C140</f>
        <v>76.418156853711153</v>
      </c>
      <c r="F14" s="455">
        <f>+'OLD...Tabs'!B171+'OLD...Tabs'!C171</f>
        <v>87.671232876712324</v>
      </c>
      <c r="G14" s="455">
        <f>+'OLD...Tabs'!B201+'OLD...Tabs'!C201</f>
        <v>74.513438368860108</v>
      </c>
      <c r="H14" s="460">
        <f>+'OLD...Tabs'!B16+'OLD...Tabs'!C16</f>
        <v>87.983309624839151</v>
      </c>
      <c r="I14" s="457">
        <f>+'OLD...Tabs'!B263+'OLD...Tabs'!C263</f>
        <v>0</v>
      </c>
      <c r="J14" s="455">
        <f>+'OLD...Tabs'!B294+'OLD...Tabs'!C294</f>
        <v>84.42167969294799</v>
      </c>
      <c r="K14" s="455">
        <f>+'OLD...Tabs'!B325+'OLD...Tabs'!C325</f>
        <v>88.537090831292403</v>
      </c>
      <c r="L14" s="455">
        <f>+'OLD...Tabs'!B356+'OLD...Tabs'!C356</f>
        <v>75.817453761510151</v>
      </c>
      <c r="M14" s="457">
        <f>+'OLD...Tabs'!B232+'OLD...Tabs'!C232</f>
        <v>84.365469666345135</v>
      </c>
      <c r="N14" s="458">
        <f>+'OLD...Tabs'!B417+'OLD...Tabs'!C417</f>
        <v>89.965644174715678</v>
      </c>
      <c r="O14" s="384">
        <f>+'OLD...Tabs'!B447+'OLD...Tabs'!C447</f>
        <v>0</v>
      </c>
      <c r="P14" s="457">
        <f>+'OLD...Tabs'!B387+'OLD...Tabs'!C387</f>
        <v>89.965644174715678</v>
      </c>
    </row>
    <row r="15" spans="1:16" ht="15.75" customHeight="1">
      <c r="A15" s="349" t="s">
        <v>892</v>
      </c>
      <c r="B15" s="455">
        <f>+'OLD...Tabs'!B49+'OLD...Tabs'!C49</f>
        <v>96.075285717898964</v>
      </c>
      <c r="C15" s="455">
        <f>+'OLD...Tabs'!B80+'OLD...Tabs'!C80</f>
        <v>89.134668615557402</v>
      </c>
      <c r="D15" s="455">
        <f>+'OLD...Tabs'!B110+'OLD...Tabs'!C110</f>
        <v>87.612997562956934</v>
      </c>
      <c r="E15" s="455">
        <f>+'OLD...Tabs'!B141+'OLD...Tabs'!C141</f>
        <v>85.414035170893428</v>
      </c>
      <c r="F15" s="455">
        <f>+'OLD...Tabs'!B172+'OLD...Tabs'!C172</f>
        <v>79.108242005704852</v>
      </c>
      <c r="G15" s="455">
        <f>+'OLD...Tabs'!B202+'OLD...Tabs'!C202</f>
        <v>100</v>
      </c>
      <c r="H15" s="460">
        <f>+'OLD...Tabs'!B17+'OLD...Tabs'!C17</f>
        <v>71.275807483261673</v>
      </c>
      <c r="I15" s="457">
        <f>+'OLD...Tabs'!B264+'OLD...Tabs'!C264</f>
        <v>0</v>
      </c>
      <c r="J15" s="455">
        <f>+'OLD...Tabs'!B295+'OLD...Tabs'!C295</f>
        <v>83.409529536629435</v>
      </c>
      <c r="K15" s="455">
        <f>+'OLD...Tabs'!B326+'OLD...Tabs'!C326</f>
        <v>75.429100867290998</v>
      </c>
      <c r="L15" s="455">
        <f>+'OLD...Tabs'!B357+'OLD...Tabs'!C357</f>
        <v>79.47175367119776</v>
      </c>
      <c r="M15" s="457">
        <f>+'OLD...Tabs'!B233+'OLD...Tabs'!C233</f>
        <v>81.610834608762559</v>
      </c>
      <c r="N15" s="458">
        <f>+'OLD...Tabs'!B418+'OLD...Tabs'!C418</f>
        <v>0</v>
      </c>
      <c r="O15" s="384">
        <f>+'OLD...Tabs'!B448+'OLD...Tabs'!C448</f>
        <v>0</v>
      </c>
      <c r="P15" s="457">
        <f>+'OLD...Tabs'!B388+'OLD...Tabs'!C388</f>
        <v>0</v>
      </c>
    </row>
    <row r="16" spans="1:16" ht="15.75" customHeight="1">
      <c r="A16" s="349"/>
      <c r="B16" s="455"/>
      <c r="C16" s="455"/>
      <c r="D16" s="455"/>
      <c r="E16" s="455"/>
      <c r="F16" s="455"/>
      <c r="G16" s="455"/>
      <c r="H16" s="460"/>
      <c r="I16" s="457"/>
      <c r="J16" s="455"/>
      <c r="K16" s="455"/>
      <c r="L16" s="455"/>
      <c r="M16" s="457"/>
      <c r="N16" s="458"/>
      <c r="O16" s="384"/>
      <c r="P16" s="457"/>
    </row>
    <row r="17" spans="1:16" ht="15.75" customHeight="1">
      <c r="A17" s="349" t="s">
        <v>893</v>
      </c>
      <c r="B17" s="455">
        <f>+'OLD...Tabs'!B51+'OLD...Tabs'!C51</f>
        <v>87.455031036206876</v>
      </c>
      <c r="C17" s="455">
        <f>+'OLD...Tabs'!B82+'OLD...Tabs'!C82</f>
        <v>87.826822822015544</v>
      </c>
      <c r="D17" s="455">
        <f>+'OLD...Tabs'!B112+'OLD...Tabs'!C112</f>
        <v>0</v>
      </c>
      <c r="E17" s="455">
        <f>+'OLD...Tabs'!B143+'OLD...Tabs'!C143</f>
        <v>80.635971666153381</v>
      </c>
      <c r="F17" s="455">
        <f>+'OLD...Tabs'!B174+'OLD...Tabs'!C174</f>
        <v>50.154359967444073</v>
      </c>
      <c r="G17" s="455">
        <f>+'OLD...Tabs'!B204+'OLD...Tabs'!C204</f>
        <v>0</v>
      </c>
      <c r="H17" s="460">
        <f>+'OLD...Tabs'!B19+'OLD...Tabs'!C19</f>
        <v>85.374221289663026</v>
      </c>
      <c r="I17" s="457">
        <f>+'OLD...Tabs'!B266+'OLD...Tabs'!C266</f>
        <v>0</v>
      </c>
      <c r="J17" s="455">
        <f>+'OLD...Tabs'!B297+'OLD...Tabs'!C297</f>
        <v>72.804316258574943</v>
      </c>
      <c r="K17" s="455">
        <f>+'OLD...Tabs'!B328+'OLD...Tabs'!C328</f>
        <v>76.398041278190547</v>
      </c>
      <c r="L17" s="455">
        <f>+'OLD...Tabs'!B359+'OLD...Tabs'!C359</f>
        <v>84.244178220487285</v>
      </c>
      <c r="M17" s="457">
        <f>+'OLD...Tabs'!B235+'OLD...Tabs'!C235</f>
        <v>74.870713078229485</v>
      </c>
      <c r="N17" s="458">
        <f>+'OLD...Tabs'!B420+'OLD...Tabs'!C420</f>
        <v>0</v>
      </c>
      <c r="O17" s="384">
        <f>+'OLD...Tabs'!B450+'OLD...Tabs'!C450</f>
        <v>0</v>
      </c>
      <c r="P17" s="457">
        <f>+'OLD...Tabs'!B390+'OLD...Tabs'!C390</f>
        <v>0</v>
      </c>
    </row>
    <row r="18" spans="1:16" ht="15.75" customHeight="1">
      <c r="A18" s="349" t="s">
        <v>894</v>
      </c>
      <c r="B18" s="455">
        <f>+'OLD...Tabs'!B52+'OLD...Tabs'!C52</f>
        <v>86.882221134956893</v>
      </c>
      <c r="C18" s="455">
        <f>+'OLD...Tabs'!B83+'OLD...Tabs'!C83</f>
        <v>79.406196835859021</v>
      </c>
      <c r="D18" s="455">
        <f>+'OLD...Tabs'!B113+'OLD...Tabs'!C113</f>
        <v>86.51894839526517</v>
      </c>
      <c r="E18" s="455">
        <f>+'OLD...Tabs'!B144+'OLD...Tabs'!C144</f>
        <v>69.913765138408309</v>
      </c>
      <c r="F18" s="455">
        <f>+'OLD...Tabs'!B175+'OLD...Tabs'!C175</f>
        <v>75.719620215509849</v>
      </c>
      <c r="G18" s="455">
        <f>+'OLD...Tabs'!B205+'OLD...Tabs'!C205</f>
        <v>89.277192216965062</v>
      </c>
      <c r="H18" s="460">
        <f>+'OLD...Tabs'!B20+'OLD...Tabs'!C20</f>
        <v>84.795399387868372</v>
      </c>
      <c r="I18" s="457">
        <f>+'OLD...Tabs'!B267+'OLD...Tabs'!C267</f>
        <v>0</v>
      </c>
      <c r="J18" s="455">
        <f>+'OLD...Tabs'!B298+'OLD...Tabs'!C298</f>
        <v>44.186264262405686</v>
      </c>
      <c r="K18" s="455">
        <f>+'OLD...Tabs'!B329+'OLD...Tabs'!C329</f>
        <v>37.719198565197964</v>
      </c>
      <c r="L18" s="455">
        <f>+'OLD...Tabs'!B360+'OLD...Tabs'!C360</f>
        <v>33.201525768769727</v>
      </c>
      <c r="M18" s="457">
        <f>+'OLD...Tabs'!B236+'OLD...Tabs'!C236</f>
        <v>39.91364825869303</v>
      </c>
      <c r="N18" s="458">
        <f>+'OLD...Tabs'!B421+'OLD...Tabs'!C421</f>
        <v>0</v>
      </c>
      <c r="O18" s="384">
        <f>+'OLD...Tabs'!B451+'OLD...Tabs'!C451</f>
        <v>0</v>
      </c>
      <c r="P18" s="457">
        <f>+'OLD...Tabs'!B391+'OLD...Tabs'!C391</f>
        <v>0</v>
      </c>
    </row>
    <row r="19" spans="1:16" ht="15.75" customHeight="1">
      <c r="A19" s="349" t="s">
        <v>895</v>
      </c>
      <c r="B19" s="455">
        <f>+'OLD...Tabs'!B53+'OLD...Tabs'!C53</f>
        <v>87.205171864602946</v>
      </c>
      <c r="C19" s="455">
        <f>+'OLD...Tabs'!B84+'OLD...Tabs'!C84</f>
        <v>0</v>
      </c>
      <c r="D19" s="455">
        <f>+'OLD...Tabs'!B114+'OLD...Tabs'!C114</f>
        <v>78.321271658620304</v>
      </c>
      <c r="E19" s="455">
        <f>+'OLD...Tabs'!B145+'OLD...Tabs'!C145</f>
        <v>73.025815137856355</v>
      </c>
      <c r="F19" s="455">
        <f>+'OLD...Tabs'!B176+'OLD...Tabs'!C176</f>
        <v>79.854096176165356</v>
      </c>
      <c r="G19" s="455">
        <f>+'OLD...Tabs'!B206+'OLD...Tabs'!C206</f>
        <v>76.992217166825753</v>
      </c>
      <c r="H19" s="460">
        <f>+'OLD...Tabs'!B21+'OLD...Tabs'!C21</f>
        <v>82.43137636760396</v>
      </c>
      <c r="I19" s="457">
        <f>+'OLD...Tabs'!B268+'OLD...Tabs'!C268</f>
        <v>66.971595801334857</v>
      </c>
      <c r="J19" s="455">
        <f>+'OLD...Tabs'!B299+'OLD...Tabs'!C299</f>
        <v>69.818212783471509</v>
      </c>
      <c r="K19" s="455">
        <f>+'OLD...Tabs'!B330+'OLD...Tabs'!C330</f>
        <v>71.468803085671539</v>
      </c>
      <c r="L19" s="455">
        <f>+'OLD...Tabs'!B361+'OLD...Tabs'!C361</f>
        <v>73.009778173802943</v>
      </c>
      <c r="M19" s="457">
        <f>+'OLD...Tabs'!B237+'OLD...Tabs'!C237</f>
        <v>70.48344541948137</v>
      </c>
      <c r="N19" s="458">
        <f>+'OLD...Tabs'!B422+'OLD...Tabs'!C422</f>
        <v>0</v>
      </c>
      <c r="O19" s="384">
        <f>+'OLD...Tabs'!B452+'OLD...Tabs'!C452</f>
        <v>0</v>
      </c>
      <c r="P19" s="457">
        <f>+'OLD...Tabs'!B392+'OLD...Tabs'!C392</f>
        <v>0</v>
      </c>
    </row>
    <row r="20" spans="1:16" ht="15.75" customHeight="1">
      <c r="A20" s="349" t="s">
        <v>896</v>
      </c>
      <c r="B20" s="455">
        <f>+'OLD...Tabs'!B54+'OLD...Tabs'!C54</f>
        <v>92.886900112055585</v>
      </c>
      <c r="C20" s="455">
        <f>+'OLD...Tabs'!B85+'OLD...Tabs'!C85</f>
        <v>0</v>
      </c>
      <c r="D20" s="455">
        <f>+'OLD...Tabs'!B115+'OLD...Tabs'!C115</f>
        <v>95.046046186144167</v>
      </c>
      <c r="E20" s="455">
        <f>+'OLD...Tabs'!B146+'OLD...Tabs'!C146</f>
        <v>0</v>
      </c>
      <c r="F20" s="455">
        <f>+'OLD...Tabs'!B177+'OLD...Tabs'!C177</f>
        <v>89.899360856262348</v>
      </c>
      <c r="G20" s="455">
        <f>+'OLD...Tabs'!B207+'OLD...Tabs'!C207</f>
        <v>87.509711591079537</v>
      </c>
      <c r="H20" s="460">
        <f>+'OLD...Tabs'!B22+'OLD...Tabs'!C22</f>
        <v>92.077012608217828</v>
      </c>
      <c r="I20" s="457">
        <f>+'OLD...Tabs'!B269+'OLD...Tabs'!C269</f>
        <v>0</v>
      </c>
      <c r="J20" s="455">
        <f>+'OLD...Tabs'!B300+'OLD...Tabs'!C300</f>
        <v>72.205699359215842</v>
      </c>
      <c r="K20" s="455">
        <f>+'OLD...Tabs'!B331+'OLD...Tabs'!C331</f>
        <v>62.530670521046325</v>
      </c>
      <c r="L20" s="455">
        <f>+'OLD...Tabs'!B362+'OLD...Tabs'!C362</f>
        <v>79.615291704369128</v>
      </c>
      <c r="M20" s="457">
        <f>+'OLD...Tabs'!B238+'OLD...Tabs'!C238</f>
        <v>70.266510933146677</v>
      </c>
      <c r="N20" s="458">
        <f>+'OLD...Tabs'!B423+'OLD...Tabs'!C423</f>
        <v>0</v>
      </c>
      <c r="O20" s="384">
        <f>+'OLD...Tabs'!B453+'OLD...Tabs'!C453</f>
        <v>0</v>
      </c>
      <c r="P20" s="457">
        <f>+'OLD...Tabs'!B393+'OLD...Tabs'!C393</f>
        <v>0</v>
      </c>
    </row>
    <row r="21" spans="1:16" ht="15.75" customHeight="1">
      <c r="A21" s="349"/>
      <c r="B21" s="455"/>
      <c r="C21" s="455"/>
      <c r="D21" s="455"/>
      <c r="E21" s="455"/>
      <c r="F21" s="455"/>
      <c r="G21" s="455"/>
      <c r="H21" s="460"/>
      <c r="I21" s="457"/>
      <c r="J21" s="455"/>
      <c r="K21" s="455"/>
      <c r="L21" s="455"/>
      <c r="M21" s="457"/>
      <c r="N21" s="458"/>
      <c r="O21" s="384"/>
      <c r="P21" s="457"/>
    </row>
    <row r="22" spans="1:16" ht="15.75" customHeight="1">
      <c r="A22" s="349" t="s">
        <v>897</v>
      </c>
      <c r="B22" s="455">
        <f>+'OLD...Tabs'!B56+'OLD...Tabs'!C56</f>
        <v>86.797941417712494</v>
      </c>
      <c r="C22" s="455">
        <f>+'OLD...Tabs'!B87+'OLD...Tabs'!C87</f>
        <v>79.788927957805569</v>
      </c>
      <c r="D22" s="455">
        <f>+'OLD...Tabs'!B117+'OLD...Tabs'!C117</f>
        <v>71.845906860490274</v>
      </c>
      <c r="E22" s="455">
        <f>+'OLD...Tabs'!B148+'OLD...Tabs'!C148</f>
        <v>0</v>
      </c>
      <c r="F22" s="455">
        <f>+'OLD...Tabs'!B179+'OLD...Tabs'!C179</f>
        <v>86.679405745560501</v>
      </c>
      <c r="G22" s="455">
        <f>+'OLD...Tabs'!B209+'OLD...Tabs'!C209</f>
        <v>0</v>
      </c>
      <c r="H22" s="460">
        <f>+'OLD...Tabs'!B24+'OLD...Tabs'!C24</f>
        <v>80.530842980515359</v>
      </c>
      <c r="I22" s="457">
        <f>+'OLD...Tabs'!B271+'OLD...Tabs'!C271</f>
        <v>0</v>
      </c>
      <c r="J22" s="455">
        <f>+'OLD...Tabs'!B302+'OLD...Tabs'!C302</f>
        <v>75.144563948504157</v>
      </c>
      <c r="K22" s="455">
        <f>+'OLD...Tabs'!B333+'OLD...Tabs'!C333</f>
        <v>73.723267298726</v>
      </c>
      <c r="L22" s="455">
        <f>+'OLD...Tabs'!B364+'OLD...Tabs'!C364</f>
        <v>73.472649538498416</v>
      </c>
      <c r="M22" s="457">
        <f>+'OLD...Tabs'!B240+'OLD...Tabs'!C240</f>
        <v>74.47298735121403</v>
      </c>
      <c r="N22" s="458">
        <f>+'OLD...Tabs'!B425+'OLD...Tabs'!C425</f>
        <v>0</v>
      </c>
      <c r="O22" s="384">
        <f>+'OLD...Tabs'!B455+'OLD...Tabs'!C455</f>
        <v>0</v>
      </c>
      <c r="P22" s="457">
        <f>+'OLD...Tabs'!B395+'OLD...Tabs'!C395</f>
        <v>0</v>
      </c>
    </row>
    <row r="23" spans="1:16" ht="15.75" customHeight="1">
      <c r="A23" s="349" t="s">
        <v>898</v>
      </c>
      <c r="B23" s="455">
        <f>+'OLD...Tabs'!B57+'OLD...Tabs'!C57</f>
        <v>85.450188401310811</v>
      </c>
      <c r="C23" s="455">
        <f>+'OLD...Tabs'!B88+'OLD...Tabs'!C88</f>
        <v>86.49512769330893</v>
      </c>
      <c r="D23" s="455">
        <f>+'OLD...Tabs'!B118+'OLD...Tabs'!C118</f>
        <v>80.494765197081662</v>
      </c>
      <c r="E23" s="455">
        <f>+'OLD...Tabs'!B149+'OLD...Tabs'!C149</f>
        <v>50.694013701084785</v>
      </c>
      <c r="F23" s="455">
        <f>+'OLD...Tabs'!B180+'OLD...Tabs'!C180</f>
        <v>66.892587387607577</v>
      </c>
      <c r="G23" s="455">
        <f>+'OLD...Tabs'!B210+'OLD...Tabs'!C210</f>
        <v>0</v>
      </c>
      <c r="H23" s="460">
        <f>+'OLD...Tabs'!B25+'OLD...Tabs'!C25</f>
        <v>83.020828983584849</v>
      </c>
      <c r="I23" s="457">
        <f>+'OLD...Tabs'!B272+'OLD...Tabs'!C272</f>
        <v>76.582509615302413</v>
      </c>
      <c r="J23" s="455">
        <f>+'OLD...Tabs'!B303+'OLD...Tabs'!C303</f>
        <v>74.38366588809815</v>
      </c>
      <c r="K23" s="455">
        <f>+'OLD...Tabs'!B334+'OLD...Tabs'!C334</f>
        <v>72.739130699051202</v>
      </c>
      <c r="L23" s="455">
        <f>+'OLD...Tabs'!B365+'OLD...Tabs'!C365</f>
        <v>63.428047847275373</v>
      </c>
      <c r="M23" s="457">
        <f>+'OLD...Tabs'!B241+'OLD...Tabs'!C241</f>
        <v>73.826988860749935</v>
      </c>
      <c r="N23" s="458">
        <f>+'OLD...Tabs'!B426+'OLD...Tabs'!C426</f>
        <v>0</v>
      </c>
      <c r="O23" s="384">
        <f>+'OLD...Tabs'!B456+'OLD...Tabs'!C456</f>
        <v>0</v>
      </c>
      <c r="P23" s="457">
        <f>+'OLD...Tabs'!B396+'OLD...Tabs'!C396</f>
        <v>0</v>
      </c>
    </row>
    <row r="24" spans="1:16" ht="15.75" customHeight="1">
      <c r="A24" s="349" t="s">
        <v>899</v>
      </c>
      <c r="B24" s="455">
        <f>+'OLD...Tabs'!B58+'OLD...Tabs'!C58</f>
        <v>91.459934778937722</v>
      </c>
      <c r="C24" s="455">
        <f>+'OLD...Tabs'!B89+'OLD...Tabs'!C89</f>
        <v>99.757999952780466</v>
      </c>
      <c r="D24" s="455">
        <f>+'OLD...Tabs'!B119+'OLD...Tabs'!C119</f>
        <v>92.81843677803613</v>
      </c>
      <c r="E24" s="455">
        <f>+'OLD...Tabs'!B150+'OLD...Tabs'!C150</f>
        <v>0</v>
      </c>
      <c r="F24" s="455">
        <f>+'OLD...Tabs'!B181+'OLD...Tabs'!C181</f>
        <v>100</v>
      </c>
      <c r="G24" s="455">
        <f>+'OLD...Tabs'!B211+'OLD...Tabs'!C211</f>
        <v>80.31345949308664</v>
      </c>
      <c r="H24" s="460">
        <f>+'OLD...Tabs'!B26+'OLD...Tabs'!C26</f>
        <v>92.29568754708832</v>
      </c>
      <c r="I24" s="457">
        <f>+'OLD...Tabs'!B273+'OLD...Tabs'!C273</f>
        <v>0</v>
      </c>
      <c r="J24" s="455">
        <f>+'OLD...Tabs'!B304+'OLD...Tabs'!C304</f>
        <v>72.33904325035013</v>
      </c>
      <c r="K24" s="455">
        <f>+'OLD...Tabs'!B335+'OLD...Tabs'!C335</f>
        <v>70.553746311297132</v>
      </c>
      <c r="L24" s="455">
        <f>+'OLD...Tabs'!B366+'OLD...Tabs'!C366</f>
        <v>61.591075507106524</v>
      </c>
      <c r="M24" s="457">
        <f>+'OLD...Tabs'!B242+'OLD...Tabs'!C242</f>
        <v>70.538214567176638</v>
      </c>
      <c r="N24" s="458">
        <f>+'OLD...Tabs'!B427+'OLD...Tabs'!C427</f>
        <v>0</v>
      </c>
      <c r="O24" s="384">
        <f>+'OLD...Tabs'!B457+'OLD...Tabs'!C457</f>
        <v>0</v>
      </c>
      <c r="P24" s="457">
        <f>+'OLD...Tabs'!B397+'OLD...Tabs'!C397</f>
        <v>0</v>
      </c>
    </row>
    <row r="25" spans="1:16" ht="15.75" customHeight="1">
      <c r="A25" s="355" t="s">
        <v>900</v>
      </c>
      <c r="B25" s="461">
        <f>+'OLD...Tabs'!B59+'OLD...Tabs'!C59</f>
        <v>89.431700440582816</v>
      </c>
      <c r="C25" s="461">
        <f>+'OLD...Tabs'!B90+'OLD...Tabs'!C90</f>
        <v>0</v>
      </c>
      <c r="D25" s="461">
        <f>+'OLD...Tabs'!B120+'OLD...Tabs'!C120</f>
        <v>85.427147082630427</v>
      </c>
      <c r="E25" s="461">
        <f>+'OLD...Tabs'!B151+'OLD...Tabs'!C151</f>
        <v>0</v>
      </c>
      <c r="F25" s="461">
        <f>+'OLD...Tabs'!B182+'OLD...Tabs'!C182</f>
        <v>86.164017495871832</v>
      </c>
      <c r="G25" s="461">
        <f>+'OLD...Tabs'!B212+'OLD...Tabs'!C212</f>
        <v>75.777054515866567</v>
      </c>
      <c r="H25" s="462">
        <f>+'OLD...Tabs'!B27+'OLD...Tabs'!C27</f>
        <v>86.266303775041379</v>
      </c>
      <c r="I25" s="463">
        <f>+'OLD...Tabs'!B274+'OLD...Tabs'!C274</f>
        <v>77.277100878947422</v>
      </c>
      <c r="J25" s="461">
        <f>+'OLD...Tabs'!B305+'OLD...Tabs'!C305</f>
        <v>0</v>
      </c>
      <c r="K25" s="461">
        <f>+'OLD...Tabs'!B336+'OLD...Tabs'!C336</f>
        <v>0</v>
      </c>
      <c r="L25" s="464">
        <f>+'OLD...Tabs'!B367+'OLD...Tabs'!C367</f>
        <v>73.203768195021752</v>
      </c>
      <c r="M25" s="463">
        <f>+'OLD...Tabs'!B243+'OLD...Tabs'!C243</f>
        <v>74.136249789631037</v>
      </c>
      <c r="N25" s="465">
        <f>+'OLD...Tabs'!B428+'OLD...Tabs'!C428</f>
        <v>0</v>
      </c>
      <c r="O25" s="394">
        <f>+'OLD...Tabs'!B458+'OLD...Tabs'!C458</f>
        <v>0</v>
      </c>
      <c r="P25" s="463">
        <f>+'OLD...Tabs'!B398+'OLD...Tabs'!C398</f>
        <v>0</v>
      </c>
    </row>
    <row r="26" spans="1:16" s="396" customFormat="1" ht="24" customHeight="1">
      <c r="A26" s="509" t="s">
        <v>985</v>
      </c>
      <c r="B26" s="509"/>
      <c r="C26" s="509"/>
      <c r="D26" s="509"/>
      <c r="E26" s="509"/>
      <c r="F26" s="509"/>
      <c r="G26" s="509"/>
      <c r="H26" s="509"/>
      <c r="I26" s="509"/>
      <c r="J26" s="509"/>
      <c r="K26" s="509"/>
      <c r="L26" s="509"/>
      <c r="M26" s="509"/>
      <c r="N26" s="509"/>
      <c r="O26" s="509"/>
      <c r="P26" s="509"/>
    </row>
    <row r="27" spans="1:16" s="396" customFormat="1" ht="11.25">
      <c r="M27" s="466"/>
      <c r="P27" s="402" t="s">
        <v>1007</v>
      </c>
    </row>
    <row r="28" spans="1:16" ht="18">
      <c r="A28" s="503" t="s">
        <v>986</v>
      </c>
      <c r="B28" s="503"/>
      <c r="C28" s="503"/>
      <c r="D28" s="503"/>
      <c r="E28" s="503"/>
      <c r="F28" s="503"/>
      <c r="G28" s="503"/>
      <c r="H28" s="503"/>
      <c r="I28" s="503"/>
      <c r="J28" s="503"/>
      <c r="K28" s="503"/>
      <c r="L28" s="503"/>
      <c r="M28" s="503"/>
      <c r="N28" s="503"/>
      <c r="O28" s="503"/>
      <c r="P28" s="503"/>
    </row>
    <row r="29" spans="1:16" s="349" customFormat="1" ht="12.75">
      <c r="A29" s="350"/>
      <c r="B29" s="346"/>
      <c r="C29" s="346"/>
      <c r="D29" s="346"/>
      <c r="E29" s="346"/>
      <c r="F29" s="346"/>
      <c r="G29" s="346"/>
      <c r="H29" s="346"/>
      <c r="I29" s="346"/>
      <c r="J29" s="346"/>
      <c r="K29" s="346"/>
      <c r="L29" s="346"/>
      <c r="M29" s="346"/>
    </row>
    <row r="30" spans="1:16" ht="15.75">
      <c r="A30" s="513" t="s">
        <v>996</v>
      </c>
      <c r="B30" s="513"/>
      <c r="C30" s="513"/>
      <c r="D30" s="513"/>
      <c r="E30" s="513"/>
      <c r="F30" s="513"/>
      <c r="G30" s="513"/>
      <c r="H30" s="513"/>
      <c r="I30" s="513"/>
      <c r="J30" s="513"/>
      <c r="K30" s="513"/>
      <c r="L30" s="513"/>
      <c r="M30" s="513"/>
      <c r="N30" s="513"/>
      <c r="O30" s="513"/>
      <c r="P30" s="513"/>
    </row>
    <row r="31" spans="1:16" s="349" customFormat="1" ht="9.75" customHeight="1">
      <c r="A31" s="468"/>
      <c r="B31" s="346"/>
      <c r="C31" s="346"/>
      <c r="D31" s="346"/>
      <c r="E31" s="346"/>
      <c r="F31" s="346"/>
      <c r="G31" s="346"/>
      <c r="H31" s="346"/>
      <c r="I31" s="346"/>
      <c r="J31" s="346"/>
      <c r="K31" s="346"/>
      <c r="L31" s="346"/>
      <c r="M31" s="346"/>
    </row>
    <row r="32" spans="1:16" s="450" customFormat="1" ht="18" customHeight="1">
      <c r="A32" s="445"/>
      <c r="B32" s="449" t="s">
        <v>784</v>
      </c>
      <c r="C32" s="449"/>
      <c r="D32" s="449"/>
      <c r="E32" s="449"/>
      <c r="F32" s="449"/>
      <c r="G32" s="449"/>
      <c r="H32" s="469"/>
      <c r="I32" s="448" t="s">
        <v>787</v>
      </c>
      <c r="J32" s="449"/>
      <c r="K32" s="449"/>
      <c r="L32" s="449"/>
      <c r="M32" s="449"/>
      <c r="N32" s="448" t="s">
        <v>803</v>
      </c>
      <c r="O32" s="449"/>
      <c r="P32" s="449"/>
    </row>
    <row r="33" spans="1:16" s="454" customFormat="1" ht="26.25" customHeight="1">
      <c r="A33" s="451"/>
      <c r="B33" s="446">
        <v>1</v>
      </c>
      <c r="C33" s="446">
        <v>2</v>
      </c>
      <c r="D33" s="446">
        <v>3</v>
      </c>
      <c r="E33" s="446">
        <v>4</v>
      </c>
      <c r="F33" s="446">
        <v>5</v>
      </c>
      <c r="G33" s="446">
        <v>6</v>
      </c>
      <c r="H33" s="452" t="s">
        <v>982</v>
      </c>
      <c r="I33" s="453" t="s">
        <v>983</v>
      </c>
      <c r="J33" s="446">
        <v>1</v>
      </c>
      <c r="K33" s="446">
        <v>2</v>
      </c>
      <c r="L33" s="446">
        <v>3</v>
      </c>
      <c r="M33" s="447" t="s">
        <v>984</v>
      </c>
      <c r="N33" s="447">
        <v>1</v>
      </c>
      <c r="O33" s="446">
        <v>2</v>
      </c>
      <c r="P33" s="447" t="s">
        <v>984</v>
      </c>
    </row>
    <row r="34" spans="1:16" ht="15.75" customHeight="1">
      <c r="A34" s="349" t="s">
        <v>885</v>
      </c>
      <c r="B34" s="455">
        <f>+'OLD...Tabs'!D41</f>
        <v>7.6373559166165546</v>
      </c>
      <c r="C34" s="455">
        <f>+'OLD...Tabs'!D72</f>
        <v>17.816906611800412</v>
      </c>
      <c r="D34" s="455">
        <f>+'OLD...Tabs'!D102</f>
        <v>17.554085291406675</v>
      </c>
      <c r="E34" s="455">
        <f>+'OLD...Tabs'!D133</f>
        <v>14.137081317878982</v>
      </c>
      <c r="F34" s="455">
        <f>+'OLD...Tabs'!D164</f>
        <v>7.8315655805094062</v>
      </c>
      <c r="G34" s="455">
        <f>+'OLD...Tabs'!D194</f>
        <v>75.32725337322708</v>
      </c>
      <c r="H34" s="459">
        <f>+'OLD...Tabs'!D9</f>
        <v>13.649080252333965</v>
      </c>
      <c r="I34" s="459">
        <f>+'OLD...Tabs'!D256</f>
        <v>0</v>
      </c>
      <c r="J34" s="455">
        <f>+'OLD...Tabs'!D287</f>
        <v>31.971112908719348</v>
      </c>
      <c r="K34" s="455">
        <f>+'OLD...Tabs'!D318</f>
        <v>20.178659428192887</v>
      </c>
      <c r="L34" s="455">
        <f>+'OLD...Tabs'!D349</f>
        <v>27.156703733018464</v>
      </c>
      <c r="M34" s="457">
        <f>+'OLD...Tabs'!D225</f>
        <v>24.244311891457031</v>
      </c>
      <c r="N34" s="458">
        <f>+'OLD...Tabs'!D410</f>
        <v>8.6316007884635333</v>
      </c>
      <c r="O34" s="384">
        <f>+'OLD...Tabs'!D440</f>
        <v>12.828300875469001</v>
      </c>
      <c r="P34" s="457">
        <f>+'OLD...Tabs'!D380</f>
        <v>11.008782286992995</v>
      </c>
    </row>
    <row r="35" spans="1:16" ht="15.75" customHeight="1">
      <c r="A35" s="349" t="s">
        <v>886</v>
      </c>
      <c r="B35" s="455">
        <f>+'OLD...Tabs'!D42</f>
        <v>8.2701352053756505</v>
      </c>
      <c r="C35" s="455">
        <f>+'OLD...Tabs'!D73</f>
        <v>33.114596903467017</v>
      </c>
      <c r="D35" s="455">
        <f>+'OLD...Tabs'!D103</f>
        <v>21.179389142822679</v>
      </c>
      <c r="E35" s="455">
        <f>+'OLD...Tabs'!D134</f>
        <v>21.859576947648502</v>
      </c>
      <c r="F35" s="455">
        <f>+'OLD...Tabs'!D165</f>
        <v>26.229459615641066</v>
      </c>
      <c r="G35" s="455">
        <f>+'OLD...Tabs'!D195</f>
        <v>19.326676841097804</v>
      </c>
      <c r="H35" s="457">
        <f>+'OLD...Tabs'!D10</f>
        <v>18.319356657123269</v>
      </c>
      <c r="I35" s="457">
        <f>+'OLD...Tabs'!D257</f>
        <v>0</v>
      </c>
      <c r="J35" s="455">
        <f>+'OLD...Tabs'!D288</f>
        <v>31.440400420194027</v>
      </c>
      <c r="K35" s="455">
        <f>+'OLD...Tabs'!D319</f>
        <v>23.146383990946987</v>
      </c>
      <c r="L35" s="455">
        <f>+'OLD...Tabs'!D350</f>
        <v>25.35890606729895</v>
      </c>
      <c r="M35" s="457">
        <f>+'OLD...Tabs'!D226</f>
        <v>26.948890711564882</v>
      </c>
      <c r="N35" s="458">
        <f>+'OLD...Tabs'!D411</f>
        <v>0</v>
      </c>
      <c r="O35" s="384">
        <f>+'OLD...Tabs'!D441</f>
        <v>0</v>
      </c>
      <c r="P35" s="457">
        <f>+'OLD...Tabs'!D381</f>
        <v>0</v>
      </c>
    </row>
    <row r="36" spans="1:16" ht="15.75" customHeight="1">
      <c r="A36" s="349" t="s">
        <v>887</v>
      </c>
      <c r="B36" s="455">
        <f>+'OLD...Tabs'!D43</f>
        <v>3.4079896443355344</v>
      </c>
      <c r="C36" s="455">
        <f>+'OLD...Tabs'!D74</f>
        <v>0</v>
      </c>
      <c r="D36" s="455">
        <f>+'OLD...Tabs'!D104</f>
        <v>4.0394713159974645</v>
      </c>
      <c r="E36" s="455">
        <f>+'OLD...Tabs'!D135</f>
        <v>0</v>
      </c>
      <c r="F36" s="455">
        <f>+'OLD...Tabs'!D166</f>
        <v>0</v>
      </c>
      <c r="G36" s="455">
        <f>+'OLD...Tabs'!D196</f>
        <v>0</v>
      </c>
      <c r="H36" s="457">
        <f>+'OLD...Tabs'!D11</f>
        <v>3.5223493099143042</v>
      </c>
      <c r="I36" s="457">
        <f>+'OLD...Tabs'!D258</f>
        <v>0</v>
      </c>
      <c r="J36" s="455">
        <f>+'OLD...Tabs'!D289</f>
        <v>0</v>
      </c>
      <c r="K36" s="455">
        <f>+'OLD...Tabs'!D320</f>
        <v>13.944221664366417</v>
      </c>
      <c r="L36" s="455">
        <f>+'OLD...Tabs'!D351</f>
        <v>0</v>
      </c>
      <c r="M36" s="457">
        <f>+'OLD...Tabs'!D227</f>
        <v>13.944221664366417</v>
      </c>
      <c r="N36" s="458">
        <f>+'OLD...Tabs'!D412</f>
        <v>0</v>
      </c>
      <c r="O36" s="384">
        <f>+'OLD...Tabs'!D442</f>
        <v>0</v>
      </c>
      <c r="P36" s="457">
        <f>+'OLD...Tabs'!D382</f>
        <v>0</v>
      </c>
    </row>
    <row r="37" spans="1:16" ht="15.75" customHeight="1">
      <c r="A37" s="349" t="s">
        <v>925</v>
      </c>
      <c r="B37" s="455">
        <f>+'OLD...Tabs'!D44</f>
        <v>0</v>
      </c>
      <c r="C37" s="455">
        <f>+'OLD...Tabs'!D75</f>
        <v>0</v>
      </c>
      <c r="D37" s="455">
        <f>+'OLD...Tabs'!D105</f>
        <v>0</v>
      </c>
      <c r="E37" s="455">
        <f>+'OLD...Tabs'!D136</f>
        <v>0</v>
      </c>
      <c r="F37" s="455">
        <f>+'OLD...Tabs'!D167</f>
        <v>0</v>
      </c>
      <c r="G37" s="455">
        <f>+'OLD...Tabs'!D197</f>
        <v>0</v>
      </c>
      <c r="H37" s="457">
        <f>+'OLD...Tabs'!D12</f>
        <v>0</v>
      </c>
      <c r="I37" s="457">
        <f>+'OLD...Tabs'!D259</f>
        <v>24.667994597593154</v>
      </c>
      <c r="J37" s="455">
        <f>+'OLD...Tabs'!D290</f>
        <v>24.744581998893523</v>
      </c>
      <c r="K37" s="455">
        <f>+'OLD...Tabs'!D321</f>
        <v>0</v>
      </c>
      <c r="L37" s="455">
        <f>+'OLD...Tabs'!D352</f>
        <v>25.913214611433784</v>
      </c>
      <c r="M37" s="457">
        <f>+'OLD...Tabs'!D228</f>
        <v>24.682373307431764</v>
      </c>
      <c r="N37" s="458">
        <f>+'OLD...Tabs'!D413</f>
        <v>0</v>
      </c>
      <c r="O37" s="384">
        <f>+'OLD...Tabs'!D443</f>
        <v>0</v>
      </c>
      <c r="P37" s="457">
        <f>+'OLD...Tabs'!D383</f>
        <v>0</v>
      </c>
    </row>
    <row r="38" spans="1:16" ht="15.75" customHeight="1">
      <c r="B38" s="349"/>
      <c r="C38" s="349"/>
      <c r="D38" s="349"/>
      <c r="E38" s="349"/>
      <c r="F38" s="349"/>
      <c r="G38" s="349"/>
      <c r="H38" s="470"/>
      <c r="I38" s="470"/>
      <c r="J38" s="349"/>
      <c r="K38" s="349"/>
      <c r="L38" s="349"/>
      <c r="M38" s="470"/>
      <c r="N38" s="470"/>
      <c r="O38" s="349"/>
      <c r="P38" s="470"/>
    </row>
    <row r="39" spans="1:16" ht="15.75" customHeight="1">
      <c r="A39" s="349" t="s">
        <v>889</v>
      </c>
      <c r="B39" s="455">
        <f>+'OLD...Tabs'!D46</f>
        <v>11.246624849723052</v>
      </c>
      <c r="C39" s="455">
        <f>+'OLD...Tabs'!D77</f>
        <v>1.2734065281221081</v>
      </c>
      <c r="D39" s="455">
        <f>+'OLD...Tabs'!D107</f>
        <v>20.419468049135443</v>
      </c>
      <c r="E39" s="455">
        <f>+'OLD...Tabs'!D138</f>
        <v>14.800435889124152</v>
      </c>
      <c r="F39" s="455">
        <f>+'OLD...Tabs'!D169</f>
        <v>8.1364285385288557</v>
      </c>
      <c r="G39" s="455">
        <f>+'OLD...Tabs'!D199</f>
        <v>11.935254988913526</v>
      </c>
      <c r="H39" s="457">
        <f>+'OLD...Tabs'!D14</f>
        <v>14.049679750593905</v>
      </c>
      <c r="I39" s="457">
        <f>+'OLD...Tabs'!D261</f>
        <v>21.956434541302052</v>
      </c>
      <c r="J39" s="455">
        <f>+'OLD...Tabs'!D292</f>
        <v>0</v>
      </c>
      <c r="K39" s="455">
        <f>+'OLD...Tabs'!D323</f>
        <v>0</v>
      </c>
      <c r="L39" s="455">
        <f>+'OLD...Tabs'!D354</f>
        <v>30.67419009631287</v>
      </c>
      <c r="M39" s="457">
        <f>+'OLD...Tabs'!D230</f>
        <v>22.633041377227425</v>
      </c>
      <c r="N39" s="458">
        <f>+'OLD...Tabs'!D415</f>
        <v>32.272751426823454</v>
      </c>
      <c r="O39" s="384">
        <f>+'OLD...Tabs'!D445</f>
        <v>0</v>
      </c>
      <c r="P39" s="457">
        <f>+'OLD...Tabs'!D385</f>
        <v>32.272751426823454</v>
      </c>
    </row>
    <row r="40" spans="1:16" ht="15.75" customHeight="1">
      <c r="A40" s="349" t="s">
        <v>890</v>
      </c>
      <c r="B40" s="455">
        <f>+'OLD...Tabs'!D47</f>
        <v>8.1796605811496992</v>
      </c>
      <c r="C40" s="455">
        <f>+'OLD...Tabs'!D78</f>
        <v>0</v>
      </c>
      <c r="D40" s="455">
        <f>+'OLD...Tabs'!D108</f>
        <v>19.023997403368881</v>
      </c>
      <c r="E40" s="455">
        <f>+'OLD...Tabs'!D139</f>
        <v>24.309134638982968</v>
      </c>
      <c r="F40" s="455">
        <f>+'OLD...Tabs'!D170</f>
        <v>0</v>
      </c>
      <c r="G40" s="455">
        <f>+'OLD...Tabs'!D200</f>
        <v>0</v>
      </c>
      <c r="H40" s="457">
        <f>+'OLD...Tabs'!D15</f>
        <v>14.808611645733377</v>
      </c>
      <c r="I40" s="457">
        <f>+'OLD...Tabs'!D262</f>
        <v>0</v>
      </c>
      <c r="J40" s="455">
        <f>+'OLD...Tabs'!D293</f>
        <v>31.630287018749843</v>
      </c>
      <c r="K40" s="455">
        <f>+'OLD...Tabs'!D324</f>
        <v>44.130724355776387</v>
      </c>
      <c r="L40" s="455">
        <f>+'OLD...Tabs'!D355</f>
        <v>44.665180024741197</v>
      </c>
      <c r="M40" s="457">
        <f>+'OLD...Tabs'!D231</f>
        <v>40.278225718006439</v>
      </c>
      <c r="N40" s="458">
        <f>+'OLD...Tabs'!D416</f>
        <v>32.120328941067008</v>
      </c>
      <c r="O40" s="384">
        <f>+'OLD...Tabs'!D446</f>
        <v>0</v>
      </c>
      <c r="P40" s="457">
        <f>+'OLD...Tabs'!D386</f>
        <v>32.120328941067008</v>
      </c>
    </row>
    <row r="41" spans="1:16" ht="15.75" customHeight="1">
      <c r="A41" s="349" t="s">
        <v>891</v>
      </c>
      <c r="B41" s="455">
        <f>+'OLD...Tabs'!D48</f>
        <v>2.3123909249563783</v>
      </c>
      <c r="C41" s="455">
        <f>+'OLD...Tabs'!D79</f>
        <v>10.055792093467476</v>
      </c>
      <c r="D41" s="455">
        <f>+'OLD...Tabs'!D109</f>
        <v>13.909490890438461</v>
      </c>
      <c r="E41" s="455">
        <f>+'OLD...Tabs'!D140</f>
        <v>23.581843146288854</v>
      </c>
      <c r="F41" s="455">
        <f>+'OLD...Tabs'!D171</f>
        <v>12.328767123287671</v>
      </c>
      <c r="G41" s="455">
        <f>+'OLD...Tabs'!D201</f>
        <v>25.486561631139892</v>
      </c>
      <c r="H41" s="457">
        <f>+'OLD...Tabs'!D16</f>
        <v>12.016690375160842</v>
      </c>
      <c r="I41" s="457">
        <f>+'OLD...Tabs'!D263</f>
        <v>0</v>
      </c>
      <c r="J41" s="455">
        <f>+'OLD...Tabs'!D294</f>
        <v>15.578320307052007</v>
      </c>
      <c r="K41" s="455">
        <f>+'OLD...Tabs'!D325</f>
        <v>11.462909168707586</v>
      </c>
      <c r="L41" s="455">
        <f>+'OLD...Tabs'!D356</f>
        <v>24.182546238489856</v>
      </c>
      <c r="M41" s="457">
        <f>+'OLD...Tabs'!D232</f>
        <v>15.634530333654851</v>
      </c>
      <c r="N41" s="458">
        <f>+'OLD...Tabs'!D417</f>
        <v>10.034355825284333</v>
      </c>
      <c r="O41" s="384">
        <f>+'OLD...Tabs'!D447</f>
        <v>0</v>
      </c>
      <c r="P41" s="457">
        <f>+'OLD...Tabs'!D387</f>
        <v>10.034355825284333</v>
      </c>
    </row>
    <row r="42" spans="1:16" ht="15.75" customHeight="1">
      <c r="A42" s="349" t="s">
        <v>892</v>
      </c>
      <c r="B42" s="455">
        <f>+'OLD...Tabs'!D49</f>
        <v>3.9247142821010339</v>
      </c>
      <c r="C42" s="455">
        <f>+'OLD...Tabs'!D80</f>
        <v>10.865331384442594</v>
      </c>
      <c r="D42" s="455">
        <f>+'OLD...Tabs'!D110</f>
        <v>12.387002437043055</v>
      </c>
      <c r="E42" s="455">
        <f>+'OLD...Tabs'!D141</f>
        <v>14.585964829106572</v>
      </c>
      <c r="F42" s="455">
        <f>+'OLD...Tabs'!D172</f>
        <v>20.891757994295151</v>
      </c>
      <c r="G42" s="455">
        <f>+'OLD...Tabs'!D202</f>
        <v>0</v>
      </c>
      <c r="H42" s="457">
        <f>+'OLD...Tabs'!D17</f>
        <v>28.724192516738327</v>
      </c>
      <c r="I42" s="457">
        <f>+'OLD...Tabs'!D264</f>
        <v>0</v>
      </c>
      <c r="J42" s="455">
        <f>+'OLD...Tabs'!D295</f>
        <v>16.590470463370572</v>
      </c>
      <c r="K42" s="455">
        <f>+'OLD...Tabs'!D326</f>
        <v>24.561321206505951</v>
      </c>
      <c r="L42" s="455">
        <f>+'OLD...Tabs'!D357</f>
        <v>20.528246328802243</v>
      </c>
      <c r="M42" s="457">
        <f>+'OLD...Tabs'!D233</f>
        <v>18.387291447243122</v>
      </c>
      <c r="N42" s="458">
        <f>+'OLD...Tabs'!D418</f>
        <v>0</v>
      </c>
      <c r="O42" s="384">
        <f>+'OLD...Tabs'!D448</f>
        <v>0</v>
      </c>
      <c r="P42" s="457">
        <f>+'OLD...Tabs'!D388</f>
        <v>0</v>
      </c>
    </row>
    <row r="43" spans="1:16" ht="15.75" customHeight="1">
      <c r="B43" s="349"/>
      <c r="C43" s="349"/>
      <c r="D43" s="349"/>
      <c r="E43" s="349"/>
      <c r="F43" s="349"/>
      <c r="G43" s="349"/>
      <c r="H43" s="470"/>
      <c r="I43" s="470"/>
      <c r="J43" s="349"/>
      <c r="K43" s="349"/>
      <c r="L43" s="349"/>
      <c r="M43" s="470"/>
      <c r="N43" s="470"/>
      <c r="O43" s="349"/>
      <c r="P43" s="470"/>
    </row>
    <row r="44" spans="1:16" ht="15.75" customHeight="1">
      <c r="A44" s="349" t="s">
        <v>940</v>
      </c>
      <c r="B44" s="455">
        <f>+'OLD...Tabs'!D51</f>
        <v>12.544968963793124</v>
      </c>
      <c r="C44" s="455">
        <f>+'OLD...Tabs'!D82</f>
        <v>12.010237236714154</v>
      </c>
      <c r="D44" s="455">
        <f>+'OLD...Tabs'!D112</f>
        <v>0</v>
      </c>
      <c r="E44" s="455">
        <f>+'OLD...Tabs'!D143</f>
        <v>18.949703572528488</v>
      </c>
      <c r="F44" s="455">
        <f>+'OLD...Tabs'!D174</f>
        <v>49.84564003255592</v>
      </c>
      <c r="G44" s="455">
        <f>+'OLD...Tabs'!D204</f>
        <v>0</v>
      </c>
      <c r="H44" s="457">
        <f>+'OLD...Tabs'!D19</f>
        <v>14.513700214912838</v>
      </c>
      <c r="I44" s="457">
        <f>+'OLD...Tabs'!D266</f>
        <v>0</v>
      </c>
      <c r="J44" s="455">
        <f>+'OLD...Tabs'!D297</f>
        <v>27.195683741425064</v>
      </c>
      <c r="K44" s="455">
        <f>+'OLD...Tabs'!D328</f>
        <v>23.601958721809464</v>
      </c>
      <c r="L44" s="455">
        <f>+'OLD...Tabs'!D359</f>
        <v>15.755821779512722</v>
      </c>
      <c r="M44" s="457">
        <f>+'OLD...Tabs'!D235</f>
        <v>25.129286921770511</v>
      </c>
      <c r="N44" s="458">
        <f>+'OLD...Tabs'!D420</f>
        <v>0</v>
      </c>
      <c r="O44" s="384">
        <f>+'OLD...Tabs'!D450</f>
        <v>0</v>
      </c>
      <c r="P44" s="457">
        <f>+'OLD...Tabs'!D390</f>
        <v>0</v>
      </c>
    </row>
    <row r="45" spans="1:16" ht="15.75" customHeight="1">
      <c r="A45" s="349" t="s">
        <v>894</v>
      </c>
      <c r="B45" s="455">
        <f>+'OLD...Tabs'!D52</f>
        <v>13.117778865043116</v>
      </c>
      <c r="C45" s="455">
        <f>+'OLD...Tabs'!D83</f>
        <v>20.593803164140994</v>
      </c>
      <c r="D45" s="455">
        <f>+'OLD...Tabs'!D113</f>
        <v>13.481051604734816</v>
      </c>
      <c r="E45" s="455">
        <f>+'OLD...Tabs'!D144</f>
        <v>30.086234861591691</v>
      </c>
      <c r="F45" s="455">
        <f>+'OLD...Tabs'!D175</f>
        <v>24.280379784490151</v>
      </c>
      <c r="G45" s="455">
        <f>+'OLD...Tabs'!D205</f>
        <v>10.722807783034947</v>
      </c>
      <c r="H45" s="457">
        <f>+'OLD...Tabs'!D20</f>
        <v>15.204600612131625</v>
      </c>
      <c r="I45" s="457">
        <f>+'OLD...Tabs'!D267</f>
        <v>0</v>
      </c>
      <c r="J45" s="455">
        <f>+'OLD...Tabs'!D298</f>
        <v>55.813735737594307</v>
      </c>
      <c r="K45" s="455">
        <f>+'OLD...Tabs'!D329</f>
        <v>62.280801434802036</v>
      </c>
      <c r="L45" s="455">
        <f>+'OLD...Tabs'!D360</f>
        <v>66.798474231230259</v>
      </c>
      <c r="M45" s="457">
        <f>+'OLD...Tabs'!D236</f>
        <v>60.086351741306963</v>
      </c>
      <c r="N45" s="458">
        <f>+'OLD...Tabs'!D421</f>
        <v>0</v>
      </c>
      <c r="O45" s="384">
        <f>+'OLD...Tabs'!D451</f>
        <v>0</v>
      </c>
      <c r="P45" s="457">
        <f>+'OLD...Tabs'!D391</f>
        <v>0</v>
      </c>
    </row>
    <row r="46" spans="1:16" ht="15.75" customHeight="1">
      <c r="A46" s="349" t="s">
        <v>895</v>
      </c>
      <c r="B46" s="455">
        <f>+'OLD...Tabs'!D53</f>
        <v>12.72278358785182</v>
      </c>
      <c r="C46" s="455">
        <f>+'OLD...Tabs'!D84</f>
        <v>0</v>
      </c>
      <c r="D46" s="455">
        <f>+'OLD...Tabs'!D114</f>
        <v>21.678728341379696</v>
      </c>
      <c r="E46" s="455">
        <f>+'OLD...Tabs'!D145</f>
        <v>26.974184862143652</v>
      </c>
      <c r="F46" s="455">
        <f>+'OLD...Tabs'!D176</f>
        <v>20.145903823834644</v>
      </c>
      <c r="G46" s="455">
        <f>+'OLD...Tabs'!D206</f>
        <v>23.007782833174236</v>
      </c>
      <c r="H46" s="457">
        <f>+'OLD...Tabs'!D21</f>
        <v>17.532670192101229</v>
      </c>
      <c r="I46" s="457">
        <f>+'OLD...Tabs'!D268</f>
        <v>33.023924826175467</v>
      </c>
      <c r="J46" s="455">
        <f>+'OLD...Tabs'!D299</f>
        <v>30.181787216528495</v>
      </c>
      <c r="K46" s="455">
        <f>+'OLD...Tabs'!D330</f>
        <v>28.531196914328458</v>
      </c>
      <c r="L46" s="455">
        <f>+'OLD...Tabs'!D361</f>
        <v>26.990221826197061</v>
      </c>
      <c r="M46" s="457">
        <f>+'OLD...Tabs'!D237</f>
        <v>29.515876716032775</v>
      </c>
      <c r="N46" s="458">
        <f>+'OLD...Tabs'!D422</f>
        <v>0</v>
      </c>
      <c r="O46" s="384">
        <f>+'OLD...Tabs'!D452</f>
        <v>0</v>
      </c>
      <c r="P46" s="457">
        <f>+'OLD...Tabs'!D392</f>
        <v>0</v>
      </c>
    </row>
    <row r="47" spans="1:16" s="396" customFormat="1" ht="16.5" customHeight="1">
      <c r="A47" s="349" t="s">
        <v>896</v>
      </c>
      <c r="B47" s="455">
        <f>+'OLD...Tabs'!D54</f>
        <v>7.1130998879444203</v>
      </c>
      <c r="C47" s="455">
        <f>+'OLD...Tabs'!D85</f>
        <v>0</v>
      </c>
      <c r="D47" s="455">
        <f>+'OLD...Tabs'!D115</f>
        <v>4.9539538138558425</v>
      </c>
      <c r="E47" s="455">
        <f>+'OLD...Tabs'!D146</f>
        <v>0</v>
      </c>
      <c r="F47" s="455">
        <f>+'OLD...Tabs'!D177</f>
        <v>10.100639143737652</v>
      </c>
      <c r="G47" s="455">
        <f>+'OLD...Tabs'!D207</f>
        <v>12.490288408920476</v>
      </c>
      <c r="H47" s="457">
        <f>+'OLD...Tabs'!D22</f>
        <v>7.9229873917821685</v>
      </c>
      <c r="I47" s="457">
        <f>+'OLD...Tabs'!D269</f>
        <v>0</v>
      </c>
      <c r="J47" s="455">
        <f>+'OLD...Tabs'!D300</f>
        <v>27.794300640784158</v>
      </c>
      <c r="K47" s="455">
        <f>+'OLD...Tabs'!D331</f>
        <v>37.469329478953675</v>
      </c>
      <c r="L47" s="455">
        <f>+'OLD...Tabs'!D362</f>
        <v>20.384708295630883</v>
      </c>
      <c r="M47" s="457">
        <f>+'OLD...Tabs'!D238</f>
        <v>29.73348906685332</v>
      </c>
      <c r="N47" s="458">
        <f>+'OLD...Tabs'!D423</f>
        <v>0</v>
      </c>
      <c r="O47" s="384">
        <f>+'OLD...Tabs'!D453</f>
        <v>0</v>
      </c>
      <c r="P47" s="457">
        <f>+'OLD...Tabs'!D393</f>
        <v>0</v>
      </c>
    </row>
    <row r="48" spans="1:16" s="396" customFormat="1" ht="14.25" customHeight="1">
      <c r="H48" s="471"/>
      <c r="I48" s="471"/>
      <c r="M48" s="471"/>
      <c r="N48" s="471"/>
      <c r="P48" s="471"/>
    </row>
    <row r="49" spans="1:16" s="396" customFormat="1" ht="15" customHeight="1">
      <c r="A49" s="349" t="s">
        <v>897</v>
      </c>
      <c r="B49" s="455">
        <f>+'OLD...Tabs'!D56</f>
        <v>12.637690691942833</v>
      </c>
      <c r="C49" s="455">
        <f>+'OLD...Tabs'!D87</f>
        <v>19.602828944739681</v>
      </c>
      <c r="D49" s="455">
        <f>+'OLD...Tabs'!D117</f>
        <v>27.251489115238151</v>
      </c>
      <c r="E49" s="455">
        <f>+'OLD...Tabs'!D148</f>
        <v>0</v>
      </c>
      <c r="F49" s="455">
        <f>+'OLD...Tabs'!D179</f>
        <v>13.151329641359544</v>
      </c>
      <c r="G49" s="455">
        <f>+'OLD...Tabs'!D209</f>
        <v>0</v>
      </c>
      <c r="H49" s="457">
        <f>+'OLD...Tabs'!D24</f>
        <v>18.824504618299517</v>
      </c>
      <c r="I49" s="457">
        <f>+'OLD...Tabs'!D271</f>
        <v>0</v>
      </c>
      <c r="J49" s="455">
        <f>+'OLD...Tabs'!D302</f>
        <v>24.767953572040916</v>
      </c>
      <c r="K49" s="455">
        <f>+'OLD...Tabs'!D333</f>
        <v>26.121500549866777</v>
      </c>
      <c r="L49" s="455">
        <f>+'OLD...Tabs'!D364</f>
        <v>26.201702161665402</v>
      </c>
      <c r="M49" s="457">
        <f>+'OLD...Tabs'!D240</f>
        <v>25.402734776488266</v>
      </c>
      <c r="N49" s="458">
        <f>+'OLD...Tabs'!D425</f>
        <v>0</v>
      </c>
      <c r="O49" s="384">
        <f>+'OLD...Tabs'!D455</f>
        <v>0</v>
      </c>
      <c r="P49" s="457">
        <f>+'OLD...Tabs'!D395</f>
        <v>0</v>
      </c>
    </row>
    <row r="50" spans="1:16" s="396" customFormat="1" ht="12.75">
      <c r="A50" s="349" t="s">
        <v>898</v>
      </c>
      <c r="B50" s="455">
        <f>+'OLD...Tabs'!D57</f>
        <v>14.549811598689196</v>
      </c>
      <c r="C50" s="455">
        <f>+'OLD...Tabs'!D88</f>
        <v>13.504872306691068</v>
      </c>
      <c r="D50" s="455">
        <f>+'OLD...Tabs'!D118</f>
        <v>19.505234802918345</v>
      </c>
      <c r="E50" s="455">
        <f>+'OLD...Tabs'!D149</f>
        <v>49.305986298915215</v>
      </c>
      <c r="F50" s="455">
        <f>+'OLD...Tabs'!D180</f>
        <v>33.10741261239243</v>
      </c>
      <c r="G50" s="455">
        <f>+'OLD...Tabs'!D210</f>
        <v>0</v>
      </c>
      <c r="H50" s="457">
        <f>+'OLD...Tabs'!D25</f>
        <v>16.979171016415151</v>
      </c>
      <c r="I50" s="457">
        <f>+'OLD...Tabs'!D272</f>
        <v>23.417490384697594</v>
      </c>
      <c r="J50" s="455">
        <f>+'OLD...Tabs'!D303</f>
        <v>25.616334111901843</v>
      </c>
      <c r="K50" s="455">
        <f>+'OLD...Tabs'!D334</f>
        <v>27.260869300948801</v>
      </c>
      <c r="L50" s="455">
        <f>+'OLD...Tabs'!D365</f>
        <v>36.571952152724634</v>
      </c>
      <c r="M50" s="457">
        <f>+'OLD...Tabs'!D241</f>
        <v>26.173011139250061</v>
      </c>
      <c r="N50" s="458">
        <f>+'OLD...Tabs'!D426</f>
        <v>0</v>
      </c>
      <c r="O50" s="384">
        <f>+'OLD...Tabs'!D456</f>
        <v>0</v>
      </c>
      <c r="P50" s="457">
        <f>+'OLD...Tabs'!D396</f>
        <v>0</v>
      </c>
    </row>
    <row r="51" spans="1:16" s="396" customFormat="1" ht="16.5" customHeight="1">
      <c r="A51" s="349" t="s">
        <v>899</v>
      </c>
      <c r="B51" s="455">
        <f>+'OLD...Tabs'!D58</f>
        <v>8.5400652210622798</v>
      </c>
      <c r="C51" s="455">
        <f>+'OLD...Tabs'!D89</f>
        <v>0.2420000472195214</v>
      </c>
      <c r="D51" s="455">
        <f>+'OLD...Tabs'!D119</f>
        <v>7.1815632219638701</v>
      </c>
      <c r="E51" s="455">
        <f>+'OLD...Tabs'!D150</f>
        <v>0</v>
      </c>
      <c r="F51" s="455">
        <f>+'OLD...Tabs'!D181</f>
        <v>0</v>
      </c>
      <c r="G51" s="455">
        <f>+'OLD...Tabs'!D211</f>
        <v>19.686540506913367</v>
      </c>
      <c r="H51" s="457">
        <f>+'OLD...Tabs'!D26</f>
        <v>7.7043124529116964</v>
      </c>
      <c r="I51" s="457">
        <f>+'OLD...Tabs'!D273</f>
        <v>0</v>
      </c>
      <c r="J51" s="455">
        <f>+'OLD...Tabs'!D304</f>
        <v>27.66095674964988</v>
      </c>
      <c r="K51" s="455">
        <f>+'OLD...Tabs'!D335</f>
        <v>29.446253688702875</v>
      </c>
      <c r="L51" s="455">
        <f>+'OLD...Tabs'!D366</f>
        <v>38.408924492893476</v>
      </c>
      <c r="M51" s="457">
        <f>+'OLD...Tabs'!D242</f>
        <v>29.461785432823373</v>
      </c>
      <c r="N51" s="458">
        <f>+'OLD...Tabs'!D427</f>
        <v>0</v>
      </c>
      <c r="O51" s="384">
        <f>+'OLD...Tabs'!D457</f>
        <v>0</v>
      </c>
      <c r="P51" s="457">
        <f>+'OLD...Tabs'!D397</f>
        <v>0</v>
      </c>
    </row>
    <row r="52" spans="1:16" s="349" customFormat="1">
      <c r="A52" s="349" t="s">
        <v>900</v>
      </c>
      <c r="B52" s="455">
        <f>+'OLD...Tabs'!D59</f>
        <v>10.56829955941719</v>
      </c>
      <c r="C52" s="455">
        <f>+'OLD...Tabs'!D90</f>
        <v>0</v>
      </c>
      <c r="D52" s="455">
        <f>+'OLD...Tabs'!D120</f>
        <v>14.572852917369563</v>
      </c>
      <c r="E52" s="455">
        <f>+'OLD...Tabs'!D151</f>
        <v>0</v>
      </c>
      <c r="F52" s="455">
        <f>+'OLD...Tabs'!D182</f>
        <v>13.835982504128168</v>
      </c>
      <c r="G52" s="455">
        <f>+'OLD...Tabs'!D212</f>
        <v>24.22294548413344</v>
      </c>
      <c r="H52" s="457">
        <f>+'OLD...Tabs'!D27</f>
        <v>13.733696224958626</v>
      </c>
      <c r="I52" s="457">
        <f>+'OLD...Tabs'!D274</f>
        <v>22.722899121052574</v>
      </c>
      <c r="J52" s="455">
        <f>+'OLD...Tabs'!D305</f>
        <v>0</v>
      </c>
      <c r="K52" s="455">
        <f>+'OLD...Tabs'!D336</f>
        <v>0</v>
      </c>
      <c r="L52" s="455">
        <f>+'OLD...Tabs'!D367</f>
        <v>26.796231804978255</v>
      </c>
      <c r="M52" s="472">
        <f>+'OLD...Tabs'!D243</f>
        <v>25.863750210368963</v>
      </c>
      <c r="N52" s="458">
        <f>+'OLD...Tabs'!D428</f>
        <v>0</v>
      </c>
      <c r="O52" s="384">
        <f>+'OLD...Tabs'!D458</f>
        <v>0</v>
      </c>
      <c r="P52" s="457">
        <f>+'OLD...Tabs'!D398</f>
        <v>0</v>
      </c>
    </row>
    <row r="53" spans="1:16" ht="24" customHeight="1">
      <c r="A53" s="509" t="s">
        <v>985</v>
      </c>
      <c r="B53" s="509"/>
      <c r="C53" s="509"/>
      <c r="D53" s="509"/>
      <c r="E53" s="509"/>
      <c r="F53" s="509"/>
      <c r="G53" s="509"/>
      <c r="H53" s="509"/>
      <c r="I53" s="509"/>
      <c r="J53" s="509"/>
      <c r="K53" s="509"/>
      <c r="L53" s="509"/>
      <c r="M53" s="509"/>
      <c r="N53" s="509"/>
      <c r="O53" s="509"/>
      <c r="P53" s="509"/>
    </row>
    <row r="54" spans="1:16" ht="23.25" customHeight="1">
      <c r="A54" s="501" t="s">
        <v>987</v>
      </c>
      <c r="B54" s="502"/>
      <c r="C54" s="502"/>
      <c r="D54" s="502"/>
      <c r="E54" s="502"/>
      <c r="F54" s="502"/>
      <c r="G54" s="502"/>
      <c r="H54" s="502"/>
      <c r="I54" s="502"/>
      <c r="J54" s="502"/>
      <c r="K54" s="502"/>
      <c r="L54" s="502"/>
      <c r="M54" s="502"/>
      <c r="N54" s="502"/>
      <c r="O54" s="502"/>
      <c r="P54" s="502"/>
    </row>
    <row r="55" spans="1:16">
      <c r="A55" s="396"/>
      <c r="B55" s="396"/>
      <c r="C55" s="396"/>
      <c r="D55" s="396"/>
      <c r="E55" s="396"/>
      <c r="F55" s="396"/>
      <c r="G55" s="396"/>
      <c r="H55" s="396"/>
      <c r="I55" s="396"/>
      <c r="J55" s="396"/>
      <c r="K55" s="396"/>
      <c r="L55" s="396"/>
      <c r="M55" s="466"/>
      <c r="N55" s="396"/>
      <c r="O55" s="396"/>
      <c r="P55" s="402" t="s">
        <v>1007</v>
      </c>
    </row>
    <row r="56" spans="1:16" s="450" customFormat="1" ht="18">
      <c r="A56" s="344" t="s">
        <v>988</v>
      </c>
      <c r="B56" s="345"/>
      <c r="C56" s="345"/>
      <c r="D56" s="345"/>
      <c r="E56" s="345"/>
      <c r="F56" s="345"/>
      <c r="G56" s="439"/>
      <c r="H56" s="439"/>
      <c r="I56" s="473" t="s">
        <v>800</v>
      </c>
      <c r="J56" s="474"/>
      <c r="K56" s="474"/>
      <c r="L56" s="474"/>
      <c r="M56" s="474"/>
      <c r="N56" s="277"/>
      <c r="O56" s="277"/>
      <c r="P56" s="277"/>
    </row>
    <row r="57" spans="1:16" s="454" customFormat="1" ht="12.75">
      <c r="A57" s="350"/>
      <c r="B57" s="346"/>
      <c r="C57" s="346"/>
      <c r="D57" s="346"/>
      <c r="E57" s="346"/>
      <c r="F57" s="346"/>
      <c r="G57" s="346"/>
      <c r="H57" s="346"/>
      <c r="I57" s="475"/>
      <c r="J57" s="475"/>
      <c r="K57" s="475"/>
      <c r="L57" s="475"/>
      <c r="M57" s="475"/>
      <c r="N57" s="349"/>
      <c r="O57" s="349"/>
      <c r="P57" s="349"/>
    </row>
    <row r="58" spans="1:16" ht="15" customHeight="1">
      <c r="A58" s="441" t="s">
        <v>989</v>
      </c>
      <c r="B58" s="345"/>
      <c r="C58" s="345"/>
      <c r="D58" s="345"/>
      <c r="E58" s="345"/>
      <c r="F58" s="345"/>
      <c r="G58" s="439"/>
      <c r="H58" s="439"/>
      <c r="I58" s="473" t="s">
        <v>800</v>
      </c>
      <c r="J58" s="474"/>
      <c r="K58" s="474"/>
      <c r="L58" s="474"/>
      <c r="M58" s="474"/>
    </row>
    <row r="59" spans="1:16" ht="15.75" customHeight="1">
      <c r="A59" s="441" t="s">
        <v>990</v>
      </c>
      <c r="B59" s="346"/>
      <c r="C59" s="346"/>
      <c r="D59" s="346"/>
      <c r="E59" s="346"/>
      <c r="F59" s="346"/>
      <c r="G59" s="439"/>
      <c r="H59" s="439"/>
      <c r="I59" s="473" t="s">
        <v>800</v>
      </c>
      <c r="J59" s="474"/>
      <c r="K59" s="474"/>
      <c r="L59" s="474"/>
      <c r="M59" s="474"/>
    </row>
    <row r="60" spans="1:16" ht="15.75" customHeight="1">
      <c r="A60" s="441" t="s">
        <v>997</v>
      </c>
      <c r="B60" s="346"/>
      <c r="C60" s="346"/>
      <c r="D60" s="346"/>
      <c r="E60" s="346"/>
      <c r="F60" s="346"/>
      <c r="G60" s="439"/>
      <c r="H60" s="439"/>
      <c r="I60" s="473" t="s">
        <v>800</v>
      </c>
      <c r="J60" s="474"/>
      <c r="K60" s="474"/>
      <c r="L60" s="474"/>
      <c r="M60" s="474"/>
    </row>
    <row r="61" spans="1:16" ht="15.75" customHeight="1">
      <c r="A61" s="476"/>
      <c r="B61" s="477"/>
      <c r="C61" s="477"/>
      <c r="D61" s="477"/>
      <c r="E61" s="477"/>
      <c r="F61" s="477"/>
      <c r="G61" s="477"/>
      <c r="H61" s="477"/>
    </row>
    <row r="62" spans="1:16" ht="15.75" customHeight="1">
      <c r="A62" s="445"/>
      <c r="B62" s="446" t="s">
        <v>784</v>
      </c>
      <c r="C62" s="446"/>
      <c r="D62" s="446"/>
      <c r="E62" s="446"/>
      <c r="F62" s="446"/>
      <c r="G62" s="446"/>
      <c r="H62" s="446"/>
      <c r="I62" s="454"/>
      <c r="J62" s="454"/>
      <c r="K62" s="454"/>
      <c r="L62" s="454"/>
      <c r="M62" s="454"/>
      <c r="N62" s="450"/>
      <c r="O62" s="450"/>
      <c r="P62" s="450"/>
    </row>
    <row r="63" spans="1:16" ht="15.75" customHeight="1">
      <c r="A63" s="451"/>
      <c r="B63" s="446">
        <v>1</v>
      </c>
      <c r="C63" s="446">
        <v>2</v>
      </c>
      <c r="D63" s="446">
        <v>3</v>
      </c>
      <c r="E63" s="446">
        <v>4</v>
      </c>
      <c r="F63" s="446">
        <v>5</v>
      </c>
      <c r="G63" s="446">
        <v>6</v>
      </c>
      <c r="H63" s="447" t="s">
        <v>982</v>
      </c>
      <c r="I63" s="454"/>
      <c r="J63" s="454"/>
      <c r="K63" s="454"/>
      <c r="L63" s="454"/>
      <c r="M63" s="454"/>
      <c r="N63" s="454"/>
      <c r="O63" s="454"/>
      <c r="P63" s="454"/>
    </row>
    <row r="64" spans="1:16" ht="15.75" customHeight="1">
      <c r="A64" s="349" t="s">
        <v>885</v>
      </c>
      <c r="B64" s="478">
        <f>+'OLD...Tabs'!J41+'OLD...Tabs'!K41</f>
        <v>80.579180642069943</v>
      </c>
      <c r="C64" s="478">
        <f>+'OLD...Tabs'!J72+'OLD...Tabs'!K72</f>
        <v>66.489098797298041</v>
      </c>
      <c r="D64" s="478">
        <f>+'OLD...Tabs'!J102+'OLD...Tabs'!K102</f>
        <v>62.082906328447457</v>
      </c>
      <c r="E64" s="478">
        <f>+'OLD...Tabs'!J133+'OLD...Tabs'!K133</f>
        <v>68.261662109536829</v>
      </c>
      <c r="F64" s="478">
        <f>+'OLD...Tabs'!J164+'OLD...Tabs'!K164</f>
        <v>19.98945389518089</v>
      </c>
      <c r="G64" s="478">
        <f>+'OLD...Tabs'!J194+'OLD...Tabs'!K194</f>
        <v>0</v>
      </c>
      <c r="H64" s="459">
        <f>+'OLD...Tabs'!J9+'OLD...Tabs'!K9</f>
        <v>67.267333014606336</v>
      </c>
      <c r="I64" s="479"/>
      <c r="J64" s="480"/>
      <c r="K64" s="480"/>
      <c r="L64" s="480"/>
      <c r="M64" s="480"/>
    </row>
    <row r="65" spans="1:16" ht="15.75" customHeight="1">
      <c r="A65" s="349" t="s">
        <v>886</v>
      </c>
      <c r="B65" s="455">
        <f>+'OLD...Tabs'!J42+'OLD...Tabs'!K42</f>
        <v>70.848831194423227</v>
      </c>
      <c r="C65" s="455">
        <f>+'OLD...Tabs'!J73+'OLD...Tabs'!K73</f>
        <v>76.098926957831324</v>
      </c>
      <c r="D65" s="455">
        <f>+'OLD...Tabs'!J103+'OLD...Tabs'!K103</f>
        <v>34.102599462180237</v>
      </c>
      <c r="E65" s="455">
        <f>+'OLD...Tabs'!J134+'OLD...Tabs'!K134</f>
        <v>26.88704309645664</v>
      </c>
      <c r="F65" s="455">
        <f>+'OLD...Tabs'!J165+'OLD...Tabs'!K165</f>
        <v>16.81728014106238</v>
      </c>
      <c r="G65" s="455">
        <f>+'OLD...Tabs'!J195+'OLD...Tabs'!K195</f>
        <v>66.099635479951402</v>
      </c>
      <c r="H65" s="457">
        <f>+'OLD...Tabs'!J10+'OLD...Tabs'!K10</f>
        <v>56.298794363630101</v>
      </c>
      <c r="I65" s="479"/>
      <c r="J65" s="480"/>
      <c r="K65" s="480"/>
      <c r="L65" s="480"/>
      <c r="M65" s="480"/>
    </row>
    <row r="66" spans="1:16" ht="15.75" customHeight="1">
      <c r="A66" s="349" t="s">
        <v>887</v>
      </c>
      <c r="B66" s="455">
        <f>+'OLD...Tabs'!J43+'OLD...Tabs'!K43</f>
        <v>90.239859089260733</v>
      </c>
      <c r="C66" s="455">
        <f>+'OLD...Tabs'!J74+'OLD...Tabs'!K74</f>
        <v>0</v>
      </c>
      <c r="D66" s="455">
        <f>+'OLD...Tabs'!J104+'OLD...Tabs'!K104</f>
        <v>94.63065408395704</v>
      </c>
      <c r="E66" s="455">
        <f>+'OLD...Tabs'!J135+'OLD...Tabs'!K135</f>
        <v>0</v>
      </c>
      <c r="F66" s="455">
        <f>+'OLD...Tabs'!J166+'OLD...Tabs'!K166</f>
        <v>0</v>
      </c>
      <c r="G66" s="455">
        <f>+'OLD...Tabs'!J196+'OLD...Tabs'!K196</f>
        <v>0</v>
      </c>
      <c r="H66" s="457">
        <f>+'OLD...Tabs'!J11+'OLD...Tabs'!K11</f>
        <v>90.661150573725706</v>
      </c>
      <c r="I66" s="479"/>
      <c r="J66" s="480"/>
      <c r="K66" s="480"/>
      <c r="L66" s="480"/>
      <c r="M66" s="480"/>
    </row>
    <row r="67" spans="1:16" ht="15.75" customHeight="1">
      <c r="A67" s="349" t="s">
        <v>888</v>
      </c>
      <c r="B67" s="455">
        <f>+'OLD...Tabs'!J44+'OLD...Tabs'!K44</f>
        <v>0</v>
      </c>
      <c r="C67" s="455">
        <f>+'OLD...Tabs'!J75+'OLD...Tabs'!K75</f>
        <v>0</v>
      </c>
      <c r="D67" s="455">
        <f>+'OLD...Tabs'!J105+'OLD...Tabs'!K105</f>
        <v>0</v>
      </c>
      <c r="E67" s="455">
        <f>+'OLD...Tabs'!J136+'OLD...Tabs'!K136</f>
        <v>0</v>
      </c>
      <c r="F67" s="455">
        <f>+'OLD...Tabs'!J167+'OLD...Tabs'!K167</f>
        <v>0</v>
      </c>
      <c r="G67" s="455">
        <f>+'OLD...Tabs'!J197+'OLD...Tabs'!K197</f>
        <v>0</v>
      </c>
      <c r="H67" s="457">
        <f>+'OLD...Tabs'!J12+'OLD...Tabs'!K12</f>
        <v>0</v>
      </c>
      <c r="I67" s="479"/>
      <c r="J67" s="480"/>
      <c r="K67" s="480"/>
      <c r="L67" s="480"/>
      <c r="M67" s="480"/>
    </row>
    <row r="68" spans="1:16" ht="15.75" customHeight="1">
      <c r="A68" s="349"/>
      <c r="B68" s="455"/>
      <c r="C68" s="455"/>
      <c r="D68" s="455"/>
      <c r="E68" s="455"/>
      <c r="F68" s="455"/>
      <c r="G68" s="455"/>
      <c r="H68" s="457"/>
      <c r="I68" s="479"/>
      <c r="J68" s="480"/>
      <c r="K68" s="480"/>
      <c r="L68" s="480"/>
      <c r="M68" s="480"/>
    </row>
    <row r="69" spans="1:16" ht="15.75" customHeight="1">
      <c r="A69" s="349" t="s">
        <v>889</v>
      </c>
      <c r="B69" s="455">
        <f>+'OLD...Tabs'!J46+'OLD...Tabs'!K46</f>
        <v>95.573924655112876</v>
      </c>
      <c r="C69" s="455">
        <f>+'OLD...Tabs'!J77+'OLD...Tabs'!K77</f>
        <v>88.929789956763727</v>
      </c>
      <c r="D69" s="455">
        <f>+'OLD...Tabs'!J107+'OLD...Tabs'!K107</f>
        <v>36.412330869019392</v>
      </c>
      <c r="E69" s="455">
        <f>+'OLD...Tabs'!J138+'OLD...Tabs'!K138</f>
        <v>81.330720981622022</v>
      </c>
      <c r="F69" s="455">
        <f>+'OLD...Tabs'!J169+'OLD...Tabs'!K169</f>
        <v>88.138256087981148</v>
      </c>
      <c r="G69" s="455">
        <f>+'OLD...Tabs'!J199+'OLD...Tabs'!K199</f>
        <v>0</v>
      </c>
      <c r="H69" s="457">
        <f>+'OLD...Tabs'!J14+'OLD...Tabs'!K14</f>
        <v>82.088076568884063</v>
      </c>
      <c r="I69" s="479"/>
      <c r="J69" s="480"/>
      <c r="K69" s="480"/>
      <c r="L69" s="480"/>
      <c r="M69" s="480"/>
    </row>
    <row r="70" spans="1:16" ht="15.75" customHeight="1">
      <c r="A70" s="349" t="s">
        <v>890</v>
      </c>
      <c r="B70" s="455">
        <f>+'OLD...Tabs'!J47+'OLD...Tabs'!K47</f>
        <v>81.97987318211932</v>
      </c>
      <c r="C70" s="455">
        <f>+'OLD...Tabs'!J78+'OLD...Tabs'!K78</f>
        <v>0</v>
      </c>
      <c r="D70" s="455">
        <f>+'OLD...Tabs'!J108+'OLD...Tabs'!K108</f>
        <v>49.838007400185312</v>
      </c>
      <c r="E70" s="455">
        <f>+'OLD...Tabs'!J139+'OLD...Tabs'!K139</f>
        <v>81.293402777777786</v>
      </c>
      <c r="F70" s="455">
        <f>+'OLD...Tabs'!J170+'OLD...Tabs'!K170</f>
        <v>0</v>
      </c>
      <c r="G70" s="455">
        <f>+'OLD...Tabs'!J200+'OLD...Tabs'!K200</f>
        <v>0</v>
      </c>
      <c r="H70" s="457">
        <f>+'OLD...Tabs'!J15+'OLD...Tabs'!K15</f>
        <v>65.690485687110723</v>
      </c>
      <c r="I70" s="479"/>
      <c r="J70" s="480"/>
      <c r="K70" s="480"/>
      <c r="L70" s="480"/>
      <c r="M70" s="480"/>
    </row>
    <row r="71" spans="1:16" ht="15.75" customHeight="1">
      <c r="A71" s="349" t="s">
        <v>891</v>
      </c>
      <c r="B71" s="455">
        <f>+'OLD...Tabs'!J48+'OLD...Tabs'!K48</f>
        <v>95.69128787878789</v>
      </c>
      <c r="C71" s="455">
        <f>+'OLD...Tabs'!J79+'OLD...Tabs'!K79</f>
        <v>85.071515494325141</v>
      </c>
      <c r="D71" s="455">
        <f>+'OLD...Tabs'!J109+'OLD...Tabs'!K109</f>
        <v>71.141548622086574</v>
      </c>
      <c r="E71" s="455">
        <f>+'OLD...Tabs'!J140+'OLD...Tabs'!K140</f>
        <v>46.041173186569956</v>
      </c>
      <c r="F71" s="455">
        <f>+'OLD...Tabs'!J171+'OLD...Tabs'!K171</f>
        <v>82.383419689119222</v>
      </c>
      <c r="G71" s="455">
        <f>+'OLD...Tabs'!J201+'OLD...Tabs'!K201</f>
        <v>0</v>
      </c>
      <c r="H71" s="457">
        <f>+'OLD...Tabs'!J16+'OLD...Tabs'!K16</f>
        <v>77.097492773615784</v>
      </c>
      <c r="I71" s="479"/>
      <c r="J71" s="480"/>
      <c r="K71" s="480"/>
      <c r="L71" s="480"/>
      <c r="M71" s="480"/>
    </row>
    <row r="72" spans="1:16" ht="15.75" customHeight="1">
      <c r="A72" s="349" t="s">
        <v>892</v>
      </c>
      <c r="B72" s="455">
        <f>+'OLD...Tabs'!J49+'OLD...Tabs'!K49</f>
        <v>92.456698210806252</v>
      </c>
      <c r="C72" s="455">
        <f>+'OLD...Tabs'!J80+'OLD...Tabs'!K80</f>
        <v>79.000866889904984</v>
      </c>
      <c r="D72" s="455">
        <f>+'OLD...Tabs'!J110+'OLD...Tabs'!K110</f>
        <v>78.528291268020268</v>
      </c>
      <c r="E72" s="455">
        <f>+'OLD...Tabs'!J141+'OLD...Tabs'!K141</f>
        <v>64.132758735885616</v>
      </c>
      <c r="F72" s="455">
        <f>+'OLD...Tabs'!J172+'OLD...Tabs'!K172</f>
        <v>85.673249551166975</v>
      </c>
      <c r="G72" s="455">
        <f>+'OLD...Tabs'!J202+'OLD...Tabs'!K202</f>
        <v>100</v>
      </c>
      <c r="H72" s="457">
        <f>+'OLD...Tabs'!J17+'OLD...Tabs'!K17</f>
        <v>55.872651891955826</v>
      </c>
      <c r="I72" s="479"/>
      <c r="J72" s="480"/>
      <c r="K72" s="480"/>
      <c r="L72" s="480"/>
      <c r="M72" s="480"/>
    </row>
    <row r="73" spans="1:16" ht="15.75" customHeight="1">
      <c r="A73" s="349"/>
      <c r="B73" s="455"/>
      <c r="C73" s="455"/>
      <c r="D73" s="455"/>
      <c r="E73" s="455"/>
      <c r="F73" s="455"/>
      <c r="G73" s="455"/>
      <c r="H73" s="457"/>
      <c r="I73" s="479"/>
      <c r="J73" s="480"/>
      <c r="K73" s="480"/>
      <c r="L73" s="480"/>
      <c r="M73" s="480"/>
    </row>
    <row r="74" spans="1:16" ht="15.75" customHeight="1">
      <c r="A74" s="349" t="s">
        <v>893</v>
      </c>
      <c r="B74" s="455">
        <f>+'OLD...Tabs'!J51+'OLD...Tabs'!K51</f>
        <v>71.846411425717108</v>
      </c>
      <c r="C74" s="455">
        <f>+'OLD...Tabs'!J82+'OLD...Tabs'!K82</f>
        <v>79.495714070880751</v>
      </c>
      <c r="D74" s="455">
        <f>+'OLD...Tabs'!J112+'OLD...Tabs'!K112</f>
        <v>0</v>
      </c>
      <c r="E74" s="455">
        <f>+'OLD...Tabs'!J143+'OLD...Tabs'!K143</f>
        <v>24.535142948136897</v>
      </c>
      <c r="F74" s="455">
        <f>+'OLD...Tabs'!J174+'OLD...Tabs'!K174</f>
        <v>62.512915891713163</v>
      </c>
      <c r="G74" s="455">
        <f>+'OLD...Tabs'!J204+'OLD...Tabs'!K204</f>
        <v>0</v>
      </c>
      <c r="H74" s="457">
        <f>+'OLD...Tabs'!J19+'OLD...Tabs'!K19</f>
        <v>67.060076525580854</v>
      </c>
      <c r="I74" s="479"/>
      <c r="J74" s="480"/>
      <c r="K74" s="480"/>
      <c r="L74" s="480"/>
      <c r="M74" s="480"/>
    </row>
    <row r="75" spans="1:16" ht="15.75" customHeight="1">
      <c r="A75" s="349" t="s">
        <v>894</v>
      </c>
      <c r="B75" s="455">
        <f>+'OLD...Tabs'!J52+'OLD...Tabs'!K52</f>
        <v>80.788526683481251</v>
      </c>
      <c r="C75" s="455">
        <f>+'OLD...Tabs'!J83+'OLD...Tabs'!K83</f>
        <v>47.915143554602793</v>
      </c>
      <c r="D75" s="455">
        <f>+'OLD...Tabs'!J113+'OLD...Tabs'!K113</f>
        <v>69.775069699378065</v>
      </c>
      <c r="E75" s="455">
        <f>+'OLD...Tabs'!J144+'OLD...Tabs'!K144</f>
        <v>57.38804182964796</v>
      </c>
      <c r="F75" s="455">
        <f>+'OLD...Tabs'!J175+'OLD...Tabs'!K175</f>
        <v>58.535300316122232</v>
      </c>
      <c r="G75" s="455">
        <f>+'OLD...Tabs'!J205+'OLD...Tabs'!K205</f>
        <v>89.815817984832066</v>
      </c>
      <c r="H75" s="457">
        <f>+'OLD...Tabs'!J20+'OLD...Tabs'!K20</f>
        <v>73.860876064383532</v>
      </c>
      <c r="I75" s="479"/>
      <c r="J75" s="480"/>
      <c r="K75" s="480"/>
      <c r="L75" s="480"/>
      <c r="M75" s="480"/>
    </row>
    <row r="76" spans="1:16" ht="15.75" customHeight="1">
      <c r="A76" s="349" t="s">
        <v>895</v>
      </c>
      <c r="B76" s="455">
        <f>+'OLD...Tabs'!J53+'OLD...Tabs'!K53</f>
        <v>83.668636039523278</v>
      </c>
      <c r="C76" s="455">
        <f>+'OLD...Tabs'!J84+'OLD...Tabs'!K84</f>
        <v>0</v>
      </c>
      <c r="D76" s="455">
        <f>+'OLD...Tabs'!J114+'OLD...Tabs'!K114</f>
        <v>81.286240318279937</v>
      </c>
      <c r="E76" s="455">
        <f>+'OLD...Tabs'!J145+'OLD...Tabs'!K145</f>
        <v>46.60533991474086</v>
      </c>
      <c r="F76" s="455">
        <f>+'OLD...Tabs'!J176+'OLD...Tabs'!K176</f>
        <v>43.433968628773826</v>
      </c>
      <c r="G76" s="455">
        <f>+'OLD...Tabs'!J206+'OLD...Tabs'!K206</f>
        <v>100</v>
      </c>
      <c r="H76" s="457">
        <f>+'OLD...Tabs'!J21+'OLD...Tabs'!K21</f>
        <v>77.334713332100492</v>
      </c>
      <c r="I76" s="479"/>
      <c r="J76" s="480"/>
      <c r="K76" s="480"/>
      <c r="L76" s="480"/>
      <c r="M76" s="480"/>
    </row>
    <row r="77" spans="1:16" s="396" customFormat="1">
      <c r="A77" s="349" t="s">
        <v>896</v>
      </c>
      <c r="B77" s="455">
        <f>+'OLD...Tabs'!J54+'OLD...Tabs'!K54</f>
        <v>77.870797167614583</v>
      </c>
      <c r="C77" s="455">
        <f>+'OLD...Tabs'!J85+'OLD...Tabs'!K85</f>
        <v>0</v>
      </c>
      <c r="D77" s="455">
        <f>+'OLD...Tabs'!J115+'OLD...Tabs'!K115</f>
        <v>86.346000116984143</v>
      </c>
      <c r="E77" s="455">
        <f>+'OLD...Tabs'!J146+'OLD...Tabs'!K146</f>
        <v>0</v>
      </c>
      <c r="F77" s="455">
        <f>+'OLD...Tabs'!J177+'OLD...Tabs'!K177</f>
        <v>65.203517494712628</v>
      </c>
      <c r="G77" s="455">
        <f>+'OLD...Tabs'!J207+'OLD...Tabs'!K207</f>
        <v>29.492213947190248</v>
      </c>
      <c r="H77" s="457">
        <f>+'OLD...Tabs'!J22+'OLD...Tabs'!K22</f>
        <v>77.13407827465339</v>
      </c>
      <c r="I77" s="479"/>
      <c r="J77" s="480"/>
      <c r="K77" s="480"/>
      <c r="L77" s="480"/>
      <c r="M77" s="480"/>
      <c r="N77" s="277"/>
      <c r="O77" s="277"/>
      <c r="P77" s="277"/>
    </row>
    <row r="78" spans="1:16" s="396" customFormat="1" ht="27.75" customHeight="1">
      <c r="A78" s="349"/>
      <c r="B78" s="455"/>
      <c r="C78" s="455"/>
      <c r="D78" s="455"/>
      <c r="E78" s="455"/>
      <c r="F78" s="455"/>
      <c r="G78" s="455"/>
      <c r="H78" s="457"/>
      <c r="I78" s="479"/>
      <c r="J78" s="480"/>
      <c r="K78" s="480"/>
      <c r="L78" s="480"/>
      <c r="M78" s="480"/>
      <c r="N78" s="277"/>
      <c r="O78" s="277"/>
      <c r="P78" s="277"/>
    </row>
    <row r="79" spans="1:16" s="396" customFormat="1">
      <c r="A79" s="349" t="s">
        <v>897</v>
      </c>
      <c r="B79" s="455">
        <f>+'OLD...Tabs'!J56+'OLD...Tabs'!K56</f>
        <v>71.802875016637827</v>
      </c>
      <c r="C79" s="455">
        <f>+'OLD...Tabs'!J87+'OLD...Tabs'!K87</f>
        <v>58.007806824675761</v>
      </c>
      <c r="D79" s="455">
        <f>+'OLD...Tabs'!J117+'OLD...Tabs'!K117</f>
        <v>43.392062515827938</v>
      </c>
      <c r="E79" s="455">
        <f>+'OLD...Tabs'!J148+'OLD...Tabs'!K148</f>
        <v>0</v>
      </c>
      <c r="F79" s="455">
        <f>+'OLD...Tabs'!J179+'OLD...Tabs'!K179</f>
        <v>11.622629275409306</v>
      </c>
      <c r="G79" s="455">
        <f>+'OLD...Tabs'!J209+'OLD...Tabs'!K209</f>
        <v>0</v>
      </c>
      <c r="H79" s="457">
        <f>+'OLD...Tabs'!J24+'OLD...Tabs'!K24</f>
        <v>61.115273976517209</v>
      </c>
      <c r="I79" s="479"/>
      <c r="J79" s="480"/>
      <c r="K79" s="480"/>
      <c r="L79" s="480"/>
      <c r="M79" s="480"/>
      <c r="N79" s="277"/>
      <c r="O79" s="277"/>
      <c r="P79" s="277"/>
    </row>
    <row r="80" spans="1:16">
      <c r="A80" s="349" t="s">
        <v>898</v>
      </c>
      <c r="B80" s="455">
        <f>+'OLD...Tabs'!J57+'OLD...Tabs'!K57</f>
        <v>82.676396257266049</v>
      </c>
      <c r="C80" s="455">
        <f>+'OLD...Tabs'!J88+'OLD...Tabs'!K88</f>
        <v>65.219569359585648</v>
      </c>
      <c r="D80" s="455">
        <f>+'OLD...Tabs'!J118+'OLD...Tabs'!K118</f>
        <v>45.946305939491836</v>
      </c>
      <c r="E80" s="455">
        <f>+'OLD...Tabs'!J149+'OLD...Tabs'!K149</f>
        <v>31.872571393326343</v>
      </c>
      <c r="F80" s="455">
        <f>+'OLD...Tabs'!J180+'OLD...Tabs'!K180</f>
        <v>34.486588680137061</v>
      </c>
      <c r="G80" s="455">
        <f>+'OLD...Tabs'!J210+'OLD...Tabs'!K210</f>
        <v>0</v>
      </c>
      <c r="H80" s="457">
        <f>+'OLD...Tabs'!J25+'OLD...Tabs'!K25</f>
        <v>68.0614871654453</v>
      </c>
      <c r="I80" s="479"/>
      <c r="J80" s="480"/>
      <c r="K80" s="480"/>
      <c r="L80" s="480"/>
      <c r="M80" s="480"/>
    </row>
    <row r="81" spans="1:16" s="349" customFormat="1">
      <c r="A81" s="349" t="s">
        <v>899</v>
      </c>
      <c r="B81" s="455">
        <f>+'OLD...Tabs'!J58+'OLD...Tabs'!K58</f>
        <v>87.505283593313266</v>
      </c>
      <c r="C81" s="455">
        <f>+'OLD...Tabs'!J89+'OLD...Tabs'!K89</f>
        <v>95.840602490801984</v>
      </c>
      <c r="D81" s="455">
        <f>+'OLD...Tabs'!J119+'OLD...Tabs'!K119</f>
        <v>80.571955082061621</v>
      </c>
      <c r="E81" s="455">
        <f>+'OLD...Tabs'!J150+'OLD...Tabs'!K150</f>
        <v>0</v>
      </c>
      <c r="F81" s="455">
        <f>+'OLD...Tabs'!J181+'OLD...Tabs'!K181</f>
        <v>100</v>
      </c>
      <c r="G81" s="455">
        <f>+'OLD...Tabs'!J211+'OLD...Tabs'!K211</f>
        <v>0</v>
      </c>
      <c r="H81" s="457">
        <f>+'OLD...Tabs'!J26+'OLD...Tabs'!K26</f>
        <v>87.412104151687984</v>
      </c>
      <c r="I81" s="479"/>
      <c r="J81" s="480"/>
      <c r="K81" s="480"/>
      <c r="L81" s="480"/>
      <c r="M81" s="480"/>
      <c r="N81" s="277"/>
      <c r="O81" s="277"/>
      <c r="P81" s="277"/>
    </row>
    <row r="82" spans="1:16">
      <c r="A82" s="355" t="s">
        <v>900</v>
      </c>
      <c r="B82" s="461">
        <f>+'OLD...Tabs'!J59+'OLD...Tabs'!K59</f>
        <v>69.445877509765324</v>
      </c>
      <c r="C82" s="461">
        <f>+'OLD...Tabs'!J90+'OLD...Tabs'!K90</f>
        <v>0</v>
      </c>
      <c r="D82" s="461">
        <f>+'OLD...Tabs'!J120+'OLD...Tabs'!K120</f>
        <v>77.374373290793073</v>
      </c>
      <c r="E82" s="461">
        <f>+'OLD...Tabs'!J151+'OLD...Tabs'!K151</f>
        <v>0</v>
      </c>
      <c r="F82" s="461">
        <f>+'OLD...Tabs'!J182+'OLD...Tabs'!K182</f>
        <v>47.252857429316222</v>
      </c>
      <c r="G82" s="461">
        <f>+'OLD...Tabs'!J212+'OLD...Tabs'!K212</f>
        <v>75.335968379446641</v>
      </c>
      <c r="H82" s="463">
        <f>+'OLD...Tabs'!J27+'OLD...Tabs'!K27</f>
        <v>70.097103004291839</v>
      </c>
      <c r="I82" s="479"/>
      <c r="J82" s="480"/>
      <c r="K82" s="480"/>
      <c r="L82" s="480"/>
      <c r="M82" s="480"/>
    </row>
    <row r="83" spans="1:16" ht="34.5" customHeight="1">
      <c r="A83" s="508" t="s">
        <v>991</v>
      </c>
      <c r="B83" s="508"/>
      <c r="C83" s="508"/>
      <c r="D83" s="508"/>
      <c r="E83" s="508"/>
      <c r="F83" s="508"/>
      <c r="G83" s="508"/>
      <c r="H83" s="508"/>
      <c r="I83" s="396"/>
      <c r="J83" s="396"/>
      <c r="K83" s="396"/>
      <c r="L83" s="396"/>
      <c r="M83" s="396"/>
      <c r="N83" s="396"/>
      <c r="O83" s="396"/>
      <c r="P83" s="396"/>
    </row>
    <row r="84" spans="1:16" s="454" customFormat="1" ht="12.75">
      <c r="A84" s="396"/>
      <c r="B84" s="396"/>
      <c r="C84" s="396"/>
      <c r="D84" s="396"/>
      <c r="E84" s="396"/>
      <c r="F84" s="396"/>
      <c r="G84" s="396"/>
      <c r="H84" s="402" t="s">
        <v>1007</v>
      </c>
      <c r="I84" s="396"/>
      <c r="J84" s="396"/>
      <c r="K84" s="396"/>
      <c r="L84" s="396"/>
      <c r="M84" s="396"/>
      <c r="N84" s="396"/>
      <c r="O84" s="396"/>
      <c r="P84" s="396"/>
    </row>
    <row r="85" spans="1:16" s="454" customFormat="1" ht="18">
      <c r="A85" s="344" t="s">
        <v>992</v>
      </c>
      <c r="B85" s="345"/>
      <c r="C85" s="345"/>
      <c r="D85" s="345"/>
      <c r="E85" s="345"/>
      <c r="F85" s="345"/>
      <c r="G85" s="439"/>
      <c r="H85" s="439"/>
      <c r="I85" s="473"/>
      <c r="J85" s="474"/>
      <c r="K85" s="474"/>
      <c r="L85" s="474"/>
      <c r="M85" s="474"/>
      <c r="N85" s="277"/>
      <c r="O85" s="277"/>
      <c r="P85" s="277"/>
    </row>
    <row r="86" spans="1:16" ht="11.25" customHeight="1">
      <c r="A86" s="350"/>
      <c r="B86" s="346"/>
      <c r="C86" s="346"/>
      <c r="D86" s="346"/>
      <c r="E86" s="346"/>
      <c r="F86" s="346"/>
      <c r="G86" s="346"/>
      <c r="H86" s="346"/>
      <c r="I86" s="475"/>
      <c r="J86" s="475"/>
      <c r="K86" s="475"/>
      <c r="L86" s="475"/>
      <c r="M86" s="475"/>
      <c r="N86" s="349"/>
      <c r="O86" s="349"/>
      <c r="P86" s="349"/>
    </row>
    <row r="87" spans="1:16" ht="15.75" customHeight="1">
      <c r="A87" s="441" t="s">
        <v>993</v>
      </c>
      <c r="B87" s="345"/>
      <c r="C87" s="345"/>
      <c r="D87" s="345"/>
      <c r="E87" s="345"/>
      <c r="F87" s="345"/>
      <c r="G87" s="439"/>
      <c r="H87" s="439"/>
      <c r="I87" s="473"/>
      <c r="J87" s="474"/>
      <c r="K87" s="474"/>
      <c r="L87" s="474"/>
      <c r="M87" s="474"/>
    </row>
    <row r="88" spans="1:16" ht="15.75" customHeight="1">
      <c r="A88" s="441" t="s">
        <v>997</v>
      </c>
      <c r="B88" s="346"/>
      <c r="C88" s="346"/>
      <c r="D88" s="346"/>
      <c r="E88" s="346"/>
      <c r="F88" s="346"/>
      <c r="G88" s="439"/>
      <c r="H88" s="439"/>
      <c r="I88" s="473"/>
      <c r="J88" s="474"/>
      <c r="K88" s="474"/>
      <c r="L88" s="474"/>
      <c r="M88" s="474"/>
    </row>
    <row r="89" spans="1:16" ht="15.75" customHeight="1">
      <c r="A89" s="467"/>
      <c r="B89" s="475"/>
      <c r="C89" s="475"/>
      <c r="D89" s="475"/>
      <c r="E89" s="475"/>
      <c r="F89" s="475"/>
      <c r="G89" s="474"/>
      <c r="H89" s="474"/>
      <c r="I89" s="473"/>
      <c r="J89" s="474"/>
      <c r="K89" s="474"/>
      <c r="L89" s="474"/>
      <c r="M89" s="474"/>
    </row>
    <row r="90" spans="1:16" ht="15.75" customHeight="1">
      <c r="A90" s="451"/>
      <c r="B90" s="446" t="s">
        <v>784</v>
      </c>
      <c r="C90" s="446"/>
      <c r="D90" s="446"/>
      <c r="E90" s="446"/>
      <c r="F90" s="446"/>
      <c r="G90" s="446"/>
      <c r="H90" s="446"/>
      <c r="I90" s="454"/>
      <c r="J90" s="454"/>
      <c r="K90" s="454"/>
      <c r="L90" s="454"/>
      <c r="M90" s="454"/>
      <c r="N90" s="454"/>
      <c r="O90" s="454"/>
      <c r="P90" s="454"/>
    </row>
    <row r="91" spans="1:16" ht="15.75" customHeight="1">
      <c r="A91" s="451"/>
      <c r="B91" s="446">
        <v>1</v>
      </c>
      <c r="C91" s="446">
        <v>2</v>
      </c>
      <c r="D91" s="446">
        <v>3</v>
      </c>
      <c r="E91" s="446">
        <v>4</v>
      </c>
      <c r="F91" s="446">
        <v>5</v>
      </c>
      <c r="G91" s="446">
        <v>6</v>
      </c>
      <c r="H91" s="447" t="s">
        <v>982</v>
      </c>
      <c r="I91" s="454"/>
      <c r="J91" s="454"/>
      <c r="K91" s="454"/>
      <c r="L91" s="454"/>
      <c r="M91" s="454"/>
      <c r="N91" s="454"/>
      <c r="O91" s="454"/>
      <c r="P91" s="454"/>
    </row>
    <row r="92" spans="1:16">
      <c r="A92" s="349" t="s">
        <v>885</v>
      </c>
      <c r="B92" s="478">
        <f>+'OLD...Tabs'!L41</f>
        <v>19.420819357930039</v>
      </c>
      <c r="C92" s="478">
        <f>+'OLD...Tabs'!L72</f>
        <v>33.510901202701959</v>
      </c>
      <c r="D92" s="478">
        <f>+'OLD...Tabs'!L102</f>
        <v>37.917093671552543</v>
      </c>
      <c r="E92" s="478">
        <f>+'OLD...Tabs'!L133</f>
        <v>31.738337890463171</v>
      </c>
      <c r="F92" s="478">
        <f>+'OLD...Tabs'!L164</f>
        <v>80.010546104819113</v>
      </c>
      <c r="G92" s="478">
        <f>+'OLD...Tabs'!L194</f>
        <v>100</v>
      </c>
      <c r="H92" s="459">
        <f>+'OLD...Tabs'!L9</f>
        <v>32.732666985393664</v>
      </c>
      <c r="I92" s="479"/>
      <c r="J92" s="480"/>
      <c r="K92" s="480"/>
      <c r="L92" s="480"/>
      <c r="M92" s="480"/>
    </row>
    <row r="93" spans="1:16">
      <c r="A93" s="349" t="s">
        <v>886</v>
      </c>
      <c r="B93" s="455">
        <f>+'OLD...Tabs'!L42</f>
        <v>29.151168805576766</v>
      </c>
      <c r="C93" s="455">
        <f>+'OLD...Tabs'!L73</f>
        <v>23.901073042168676</v>
      </c>
      <c r="D93" s="455">
        <f>+'OLD...Tabs'!L103</f>
        <v>65.897400537819763</v>
      </c>
      <c r="E93" s="455">
        <f>+'OLD...Tabs'!L134</f>
        <v>73.112956903543363</v>
      </c>
      <c r="F93" s="455">
        <f>+'OLD...Tabs'!L165</f>
        <v>83.182719858937631</v>
      </c>
      <c r="G93" s="455">
        <f>+'OLD...Tabs'!L195</f>
        <v>33.900364520048605</v>
      </c>
      <c r="H93" s="457">
        <f>+'OLD...Tabs'!L10</f>
        <v>43.701205636369899</v>
      </c>
      <c r="I93" s="479"/>
      <c r="J93" s="480"/>
      <c r="K93" s="480"/>
      <c r="L93" s="480"/>
      <c r="M93" s="480"/>
    </row>
    <row r="94" spans="1:16">
      <c r="A94" s="349" t="s">
        <v>887</v>
      </c>
      <c r="B94" s="455">
        <f>+'OLD...Tabs'!L43</f>
        <v>9.7601409107392634</v>
      </c>
      <c r="C94" s="455">
        <f>+'OLD...Tabs'!L74</f>
        <v>0</v>
      </c>
      <c r="D94" s="455">
        <f>+'OLD...Tabs'!L104</f>
        <v>5.3693459160429553</v>
      </c>
      <c r="E94" s="455">
        <f>+'OLD...Tabs'!L135</f>
        <v>0</v>
      </c>
      <c r="F94" s="455">
        <f>+'OLD...Tabs'!L166</f>
        <v>0</v>
      </c>
      <c r="G94" s="455">
        <f>+'OLD...Tabs'!L196</f>
        <v>0</v>
      </c>
      <c r="H94" s="457">
        <f>+'OLD...Tabs'!L11</f>
        <v>9.3388494262742956</v>
      </c>
      <c r="I94" s="479"/>
      <c r="J94" s="480"/>
      <c r="K94" s="480"/>
      <c r="L94" s="480"/>
      <c r="M94" s="480"/>
    </row>
    <row r="95" spans="1:16">
      <c r="A95" s="349" t="s">
        <v>925</v>
      </c>
      <c r="B95" s="455">
        <f>+'OLD...Tabs'!L44</f>
        <v>0</v>
      </c>
      <c r="C95" s="455">
        <f>+'OLD...Tabs'!L75</f>
        <v>0</v>
      </c>
      <c r="D95" s="455">
        <f>+'OLD...Tabs'!L105</f>
        <v>0</v>
      </c>
      <c r="E95" s="455">
        <f>+'OLD...Tabs'!L136</f>
        <v>0</v>
      </c>
      <c r="F95" s="455">
        <f>+'OLD...Tabs'!L167</f>
        <v>0</v>
      </c>
      <c r="G95" s="455">
        <f>+'OLD...Tabs'!L197</f>
        <v>0</v>
      </c>
      <c r="H95" s="457">
        <f>+'OLD...Tabs'!L12</f>
        <v>0</v>
      </c>
      <c r="I95" s="479"/>
      <c r="J95" s="480"/>
      <c r="K95" s="480"/>
      <c r="L95" s="480"/>
      <c r="M95" s="480"/>
    </row>
    <row r="96" spans="1:16">
      <c r="A96" s="349"/>
      <c r="B96" s="455"/>
      <c r="C96" s="455"/>
      <c r="D96" s="455"/>
      <c r="E96" s="455"/>
      <c r="F96" s="455"/>
      <c r="G96" s="455"/>
      <c r="H96" s="457"/>
      <c r="I96" s="479"/>
      <c r="J96" s="480"/>
      <c r="K96" s="480"/>
      <c r="L96" s="480"/>
      <c r="M96" s="480"/>
    </row>
    <row r="97" spans="1:16">
      <c r="A97" s="349" t="s">
        <v>889</v>
      </c>
      <c r="B97" s="455">
        <f>+'OLD...Tabs'!L46</f>
        <v>4.4260753448871242</v>
      </c>
      <c r="C97" s="455">
        <f>+'OLD...Tabs'!L77</f>
        <v>11.070210043236278</v>
      </c>
      <c r="D97" s="455">
        <f>+'OLD...Tabs'!L107</f>
        <v>63.587669130980608</v>
      </c>
      <c r="E97" s="455">
        <f>+'OLD...Tabs'!L138</f>
        <v>18.669279018377964</v>
      </c>
      <c r="F97" s="455">
        <f>+'OLD...Tabs'!L169</f>
        <v>11.861743912018854</v>
      </c>
      <c r="G97" s="455">
        <f>+'OLD...Tabs'!L199</f>
        <v>100</v>
      </c>
      <c r="H97" s="457">
        <f>+'OLD...Tabs'!L14</f>
        <v>17.911923431115937</v>
      </c>
      <c r="I97" s="479"/>
      <c r="J97" s="480"/>
      <c r="K97" s="480"/>
      <c r="L97" s="480"/>
      <c r="M97" s="480"/>
    </row>
    <row r="98" spans="1:16">
      <c r="A98" s="349" t="s">
        <v>890</v>
      </c>
      <c r="B98" s="455">
        <f>+'OLD...Tabs'!L47</f>
        <v>18.020126817880694</v>
      </c>
      <c r="C98" s="455">
        <f>+'OLD...Tabs'!L78</f>
        <v>0</v>
      </c>
      <c r="D98" s="455">
        <f>+'OLD...Tabs'!L108</f>
        <v>50.161992599814695</v>
      </c>
      <c r="E98" s="455">
        <f>+'OLD...Tabs'!L139</f>
        <v>18.706597222222221</v>
      </c>
      <c r="F98" s="455">
        <f>+'OLD...Tabs'!L170</f>
        <v>0</v>
      </c>
      <c r="G98" s="455">
        <f>+'OLD...Tabs'!L200</f>
        <v>0</v>
      </c>
      <c r="H98" s="457">
        <f>+'OLD...Tabs'!L15</f>
        <v>34.30951431288927</v>
      </c>
      <c r="I98" s="479"/>
      <c r="J98" s="480"/>
      <c r="K98" s="480"/>
      <c r="L98" s="480"/>
      <c r="M98" s="480"/>
    </row>
    <row r="99" spans="1:16">
      <c r="A99" s="349" t="s">
        <v>891</v>
      </c>
      <c r="B99" s="455">
        <f>+'OLD...Tabs'!L48</f>
        <v>4.3087121212121087</v>
      </c>
      <c r="C99" s="455">
        <f>+'OLD...Tabs'!L79</f>
        <v>14.928484505674867</v>
      </c>
      <c r="D99" s="455">
        <f>+'OLD...Tabs'!L109</f>
        <v>28.858451377913426</v>
      </c>
      <c r="E99" s="455">
        <f>+'OLD...Tabs'!L140</f>
        <v>53.958826813430051</v>
      </c>
      <c r="F99" s="455">
        <f>+'OLD...Tabs'!L171</f>
        <v>17.616580310880789</v>
      </c>
      <c r="G99" s="455">
        <f>+'OLD...Tabs'!L201</f>
        <v>0</v>
      </c>
      <c r="H99" s="457">
        <f>+'OLD...Tabs'!L16</f>
        <v>22.902507226384198</v>
      </c>
      <c r="I99" s="479"/>
      <c r="J99" s="480"/>
      <c r="K99" s="480"/>
      <c r="L99" s="480"/>
      <c r="M99" s="480"/>
    </row>
    <row r="100" spans="1:16">
      <c r="A100" s="349" t="s">
        <v>892</v>
      </c>
      <c r="B100" s="455">
        <f>+'OLD...Tabs'!L49</f>
        <v>7.5433017891937526</v>
      </c>
      <c r="C100" s="455">
        <f>+'OLD...Tabs'!L80</f>
        <v>20.999133110095016</v>
      </c>
      <c r="D100" s="455">
        <f>+'OLD...Tabs'!L110</f>
        <v>21.471708731979739</v>
      </c>
      <c r="E100" s="455">
        <f>+'OLD...Tabs'!L141</f>
        <v>35.867241264114384</v>
      </c>
      <c r="F100" s="455">
        <f>+'OLD...Tabs'!L172</f>
        <v>14.326750448833034</v>
      </c>
      <c r="G100" s="455">
        <f>+'OLD...Tabs'!L202</f>
        <v>0</v>
      </c>
      <c r="H100" s="457">
        <f>+'OLD...Tabs'!L17</f>
        <v>44.127348108044181</v>
      </c>
      <c r="I100" s="479"/>
      <c r="J100" s="480"/>
      <c r="K100" s="480"/>
      <c r="L100" s="480"/>
      <c r="M100" s="480"/>
    </row>
    <row r="101" spans="1:16">
      <c r="A101" s="349"/>
      <c r="B101" s="455"/>
      <c r="C101" s="455"/>
      <c r="D101" s="455"/>
      <c r="E101" s="455"/>
      <c r="F101" s="455"/>
      <c r="G101" s="455"/>
      <c r="H101" s="457"/>
      <c r="I101" s="479"/>
      <c r="J101" s="480"/>
      <c r="K101" s="480"/>
      <c r="L101" s="480"/>
      <c r="M101" s="480"/>
    </row>
    <row r="102" spans="1:16">
      <c r="A102" s="349" t="s">
        <v>893</v>
      </c>
      <c r="B102" s="455">
        <f>+'OLD...Tabs'!L51</f>
        <v>28.011137114155421</v>
      </c>
      <c r="C102" s="455">
        <f>+'OLD...Tabs'!L82</f>
        <v>20.483232242217653</v>
      </c>
      <c r="D102" s="455">
        <f>+'OLD...Tabs'!L112</f>
        <v>0</v>
      </c>
      <c r="E102" s="455">
        <f>+'OLD...Tabs'!L143</f>
        <v>75.207623900634516</v>
      </c>
      <c r="F102" s="455">
        <f>+'OLD...Tabs'!L174</f>
        <v>37.487084108286837</v>
      </c>
      <c r="G102" s="455">
        <f>+'OLD...Tabs'!L204</f>
        <v>0</v>
      </c>
      <c r="H102" s="457">
        <f>+'OLD...Tabs'!L19</f>
        <v>32.829474182478009</v>
      </c>
      <c r="I102" s="479"/>
      <c r="J102" s="480"/>
      <c r="K102" s="480"/>
      <c r="L102" s="480"/>
      <c r="M102" s="480"/>
    </row>
    <row r="103" spans="1:16">
      <c r="A103" s="349" t="s">
        <v>894</v>
      </c>
      <c r="B103" s="455">
        <f>+'OLD...Tabs'!L52</f>
        <v>19.211473316518745</v>
      </c>
      <c r="C103" s="455">
        <f>+'OLD...Tabs'!L83</f>
        <v>52.084856445397214</v>
      </c>
      <c r="D103" s="455">
        <f>+'OLD...Tabs'!L113</f>
        <v>30.224930300621935</v>
      </c>
      <c r="E103" s="455">
        <f>+'OLD...Tabs'!L144</f>
        <v>42.61195817035204</v>
      </c>
      <c r="F103" s="455">
        <f>+'OLD...Tabs'!L175</f>
        <v>41.464699683877768</v>
      </c>
      <c r="G103" s="455">
        <f>+'OLD...Tabs'!L205</f>
        <v>10.184182015167931</v>
      </c>
      <c r="H103" s="457">
        <f>+'OLD...Tabs'!L20</f>
        <v>26.139123935616475</v>
      </c>
      <c r="I103" s="479"/>
      <c r="J103" s="480"/>
      <c r="K103" s="480"/>
      <c r="L103" s="480"/>
      <c r="M103" s="480"/>
    </row>
    <row r="104" spans="1:16">
      <c r="A104" s="349" t="s">
        <v>895</v>
      </c>
      <c r="B104" s="455">
        <f>+'OLD...Tabs'!L53</f>
        <v>15.990968048623138</v>
      </c>
      <c r="C104" s="455">
        <f>+'OLD...Tabs'!L84</f>
        <v>0</v>
      </c>
      <c r="D104" s="455">
        <f>+'OLD...Tabs'!L114</f>
        <v>18.713759681720067</v>
      </c>
      <c r="E104" s="455">
        <f>+'OLD...Tabs'!L145</f>
        <v>53.394660085259147</v>
      </c>
      <c r="F104" s="455">
        <f>+'OLD...Tabs'!L176</f>
        <v>56.566031371226181</v>
      </c>
      <c r="G104" s="455">
        <f>+'OLD...Tabs'!L206</f>
        <v>0</v>
      </c>
      <c r="H104" s="457">
        <f>+'OLD...Tabs'!L21</f>
        <v>22.426073625121543</v>
      </c>
      <c r="I104" s="479"/>
      <c r="J104" s="480"/>
      <c r="K104" s="480"/>
      <c r="L104" s="480"/>
      <c r="M104" s="480"/>
    </row>
    <row r="105" spans="1:16" s="396" customFormat="1">
      <c r="A105" s="349" t="s">
        <v>896</v>
      </c>
      <c r="B105" s="455">
        <f>+'OLD...Tabs'!L54</f>
        <v>22.129202832385417</v>
      </c>
      <c r="C105" s="455">
        <f>+'OLD...Tabs'!L85</f>
        <v>0</v>
      </c>
      <c r="D105" s="455">
        <f>+'OLD...Tabs'!L115</f>
        <v>13.653999883015851</v>
      </c>
      <c r="E105" s="455">
        <f>+'OLD...Tabs'!L146</f>
        <v>0</v>
      </c>
      <c r="F105" s="455">
        <f>+'OLD...Tabs'!L177</f>
        <v>34.796482505287372</v>
      </c>
      <c r="G105" s="455">
        <f>+'OLD...Tabs'!L207</f>
        <v>70.507786052809749</v>
      </c>
      <c r="H105" s="457">
        <f>+'OLD...Tabs'!L22</f>
        <v>22.86592172534661</v>
      </c>
      <c r="I105" s="479"/>
      <c r="J105" s="480"/>
      <c r="K105" s="480"/>
      <c r="L105" s="480"/>
      <c r="M105" s="480"/>
      <c r="N105" s="277"/>
      <c r="O105" s="277"/>
      <c r="P105" s="277"/>
    </row>
    <row r="106" spans="1:16" s="396" customFormat="1">
      <c r="A106" s="349"/>
      <c r="B106" s="455"/>
      <c r="C106" s="455"/>
      <c r="D106" s="455"/>
      <c r="E106" s="455"/>
      <c r="F106" s="455"/>
      <c r="G106" s="455"/>
      <c r="H106" s="457"/>
      <c r="I106" s="479"/>
      <c r="J106" s="480"/>
      <c r="K106" s="480"/>
      <c r="L106" s="480"/>
      <c r="M106" s="480"/>
      <c r="N106" s="277"/>
      <c r="O106" s="277"/>
      <c r="P106" s="277"/>
    </row>
    <row r="107" spans="1:16" s="396" customFormat="1">
      <c r="A107" s="349" t="s">
        <v>897</v>
      </c>
      <c r="B107" s="455">
        <f>+'OLD...Tabs'!L56</f>
        <v>24.291228537202183</v>
      </c>
      <c r="C107" s="455">
        <f>+'OLD...Tabs'!L87</f>
        <v>37.214145268928647</v>
      </c>
      <c r="D107" s="455">
        <f>+'OLD...Tabs'!L117</f>
        <v>52.716978401649719</v>
      </c>
      <c r="E107" s="455">
        <f>+'OLD...Tabs'!L148</f>
        <v>0</v>
      </c>
      <c r="F107" s="455">
        <f>+'OLD...Tabs'!L179</f>
        <v>88.328740476576428</v>
      </c>
      <c r="G107" s="455">
        <f>+'OLD...Tabs'!L209</f>
        <v>0</v>
      </c>
      <c r="H107" s="457">
        <f>+'OLD...Tabs'!L24</f>
        <v>34.771109431853546</v>
      </c>
      <c r="I107" s="479"/>
      <c r="J107" s="480"/>
      <c r="K107" s="480"/>
      <c r="L107" s="480"/>
      <c r="M107" s="480"/>
      <c r="N107" s="277"/>
      <c r="O107" s="277"/>
      <c r="P107" s="277"/>
    </row>
    <row r="108" spans="1:16" s="396" customFormat="1">
      <c r="A108" s="349" t="s">
        <v>898</v>
      </c>
      <c r="B108" s="455">
        <f>+'OLD...Tabs'!L57</f>
        <v>17.323603742733955</v>
      </c>
      <c r="C108" s="455">
        <f>+'OLD...Tabs'!L88</f>
        <v>34.780430640414359</v>
      </c>
      <c r="D108" s="455">
        <f>+'OLD...Tabs'!L118</f>
        <v>54.053694060508164</v>
      </c>
      <c r="E108" s="455">
        <f>+'OLD...Tabs'!L149</f>
        <v>74.131869487448341</v>
      </c>
      <c r="F108" s="455">
        <f>+'OLD...Tabs'!L180</f>
        <v>61.141439205955336</v>
      </c>
      <c r="G108" s="455">
        <f>+'OLD...Tabs'!L210</f>
        <v>0</v>
      </c>
      <c r="H108" s="457">
        <f>+'OLD...Tabs'!L25</f>
        <v>31.942708759143979</v>
      </c>
      <c r="I108" s="479"/>
      <c r="J108" s="480"/>
      <c r="K108" s="480"/>
      <c r="L108" s="480"/>
      <c r="M108" s="480"/>
      <c r="N108" s="277"/>
      <c r="O108" s="277"/>
      <c r="P108" s="277"/>
    </row>
    <row r="109" spans="1:16">
      <c r="A109" s="349" t="s">
        <v>899</v>
      </c>
      <c r="B109" s="455">
        <f>+'OLD...Tabs'!L58</f>
        <v>12.494716406686734</v>
      </c>
      <c r="C109" s="455">
        <f>+'OLD...Tabs'!L89</f>
        <v>4.1593975091980031</v>
      </c>
      <c r="D109" s="455">
        <f>+'OLD...Tabs'!L119</f>
        <v>19.428044917938379</v>
      </c>
      <c r="E109" s="455">
        <f>+'OLD...Tabs'!L150</f>
        <v>0</v>
      </c>
      <c r="F109" s="455">
        <f>+'OLD...Tabs'!L181</f>
        <v>0</v>
      </c>
      <c r="G109" s="455">
        <f>+'OLD...Tabs'!L211</f>
        <v>0</v>
      </c>
      <c r="H109" s="457">
        <f>+'OLD...Tabs'!L26</f>
        <v>12.587895848312007</v>
      </c>
      <c r="I109" s="479"/>
      <c r="J109" s="480"/>
      <c r="K109" s="480"/>
      <c r="L109" s="480"/>
      <c r="M109" s="480"/>
    </row>
    <row r="110" spans="1:16">
      <c r="A110" s="355" t="s">
        <v>900</v>
      </c>
      <c r="B110" s="461">
        <f>+'OLD...Tabs'!L59</f>
        <v>30.554122490234683</v>
      </c>
      <c r="C110" s="461">
        <f>+'OLD...Tabs'!L90</f>
        <v>0</v>
      </c>
      <c r="D110" s="461">
        <f>+'OLD...Tabs'!L120</f>
        <v>22.625626709206927</v>
      </c>
      <c r="E110" s="461">
        <f>+'OLD...Tabs'!L151</f>
        <v>0</v>
      </c>
      <c r="F110" s="461">
        <f>+'OLD...Tabs'!L182</f>
        <v>52.747142570683778</v>
      </c>
      <c r="G110" s="461">
        <f>+'OLD...Tabs'!L212</f>
        <v>24.664031620553359</v>
      </c>
      <c r="H110" s="463">
        <f>+'OLD...Tabs'!L27</f>
        <v>29.902896995708151</v>
      </c>
      <c r="I110" s="479"/>
      <c r="J110" s="480"/>
      <c r="K110" s="480"/>
      <c r="L110" s="480"/>
      <c r="M110" s="480"/>
    </row>
    <row r="111" spans="1:16" ht="35.25" customHeight="1">
      <c r="A111" s="509" t="s">
        <v>991</v>
      </c>
      <c r="B111" s="509"/>
      <c r="C111" s="509"/>
      <c r="D111" s="509"/>
      <c r="E111" s="509"/>
      <c r="F111" s="509"/>
      <c r="G111" s="509"/>
      <c r="H111" s="509"/>
      <c r="I111" s="481"/>
      <c r="J111" s="482"/>
      <c r="K111" s="482"/>
      <c r="L111" s="482"/>
      <c r="M111" s="482"/>
      <c r="N111" s="482"/>
      <c r="O111" s="482"/>
      <c r="P111" s="482"/>
    </row>
    <row r="112" spans="1:16" ht="24" customHeight="1">
      <c r="A112" s="501" t="s">
        <v>994</v>
      </c>
      <c r="B112" s="502"/>
      <c r="C112" s="502"/>
      <c r="D112" s="502"/>
      <c r="E112" s="502"/>
      <c r="F112" s="502"/>
      <c r="G112" s="502"/>
      <c r="H112" s="502"/>
      <c r="I112" s="396"/>
      <c r="J112" s="396"/>
      <c r="K112" s="396"/>
      <c r="L112" s="396"/>
      <c r="M112" s="396"/>
      <c r="N112" s="396"/>
      <c r="O112" s="396"/>
      <c r="P112" s="396"/>
    </row>
    <row r="113" spans="1:16">
      <c r="A113" s="396"/>
      <c r="B113" s="396"/>
      <c r="C113" s="396"/>
      <c r="D113" s="396"/>
      <c r="E113" s="396"/>
      <c r="F113" s="396"/>
      <c r="G113" s="396"/>
      <c r="H113" s="402" t="s">
        <v>1007</v>
      </c>
      <c r="I113" s="396"/>
      <c r="J113" s="396"/>
      <c r="K113" s="396"/>
      <c r="L113" s="396"/>
      <c r="M113" s="396"/>
      <c r="N113" s="396"/>
      <c r="O113" s="396"/>
      <c r="P113" s="396"/>
    </row>
  </sheetData>
  <mergeCells count="10">
    <mergeCell ref="A54:P54"/>
    <mergeCell ref="A83:H83"/>
    <mergeCell ref="A111:H111"/>
    <mergeCell ref="A112:H112"/>
    <mergeCell ref="B5:H5"/>
    <mergeCell ref="I5:M5"/>
    <mergeCell ref="A26:P26"/>
    <mergeCell ref="A28:P28"/>
    <mergeCell ref="A30:P30"/>
    <mergeCell ref="A53:P5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B2D0-37CF-4F58-9CA9-290531D447B1}">
  <sheetPr>
    <tabColor rgb="FFC00000"/>
  </sheetPr>
  <dimension ref="A1:AO463"/>
  <sheetViews>
    <sheetView showZeros="0" view="pageBreakPreview" topLeftCell="A290" zoomScaleNormal="100" zoomScaleSheetLayoutView="100" workbookViewId="0">
      <selection activeCell="Q98" sqref="Q98"/>
    </sheetView>
  </sheetViews>
  <sheetFormatPr defaultRowHeight="12.75"/>
  <cols>
    <col min="1" max="1" width="10.44140625" style="349" customWidth="1"/>
    <col min="2" max="2" width="7.109375" style="349" customWidth="1"/>
    <col min="3" max="3" width="7.33203125" style="349" bestFit="1" customWidth="1"/>
    <col min="4" max="4" width="7.6640625" style="349" bestFit="1" customWidth="1"/>
    <col min="5" max="5" width="4.44140625" style="349" bestFit="1" customWidth="1"/>
    <col min="6" max="6" width="8.88671875" style="349" customWidth="1"/>
    <col min="7" max="7" width="6.109375" style="349" bestFit="1" customWidth="1"/>
    <col min="8" max="8" width="9.5546875" style="349" bestFit="1" customWidth="1"/>
    <col min="9" max="9" width="10.109375" style="415" customWidth="1"/>
    <col min="10" max="11" width="7" style="349" customWidth="1"/>
    <col min="12" max="12" width="7.77734375" style="349" bestFit="1" customWidth="1"/>
    <col min="13" max="13" width="5" style="349" bestFit="1" customWidth="1"/>
    <col min="14" max="14" width="8.77734375" style="349" customWidth="1"/>
    <col min="15" max="15" width="6.109375" style="349" bestFit="1" customWidth="1"/>
    <col min="16" max="16" width="9.5546875" style="349" bestFit="1" customWidth="1"/>
    <col min="17" max="17" width="9" style="353" bestFit="1" customWidth="1"/>
    <col min="18" max="18" width="9" style="359" bestFit="1" customWidth="1"/>
    <col min="19" max="16384" width="8.88671875" style="428"/>
  </cols>
  <sheetData>
    <row r="1" spans="1:41" ht="18">
      <c r="A1" s="344" t="s">
        <v>904</v>
      </c>
      <c r="B1" s="345"/>
      <c r="C1" s="345"/>
      <c r="D1" s="345"/>
      <c r="E1" s="345"/>
      <c r="F1" s="345"/>
      <c r="G1" s="345"/>
      <c r="H1" s="345"/>
      <c r="I1" s="344" t="s">
        <v>905</v>
      </c>
      <c r="J1" s="346"/>
      <c r="K1" s="346"/>
      <c r="L1" s="345"/>
      <c r="M1" s="346"/>
      <c r="N1" s="346"/>
      <c r="O1" s="346"/>
      <c r="P1" s="346"/>
      <c r="Q1" s="347"/>
      <c r="R1" s="348"/>
    </row>
    <row r="2" spans="1:41" ht="15">
      <c r="A2" s="350"/>
      <c r="B2" s="346"/>
      <c r="C2" s="346"/>
      <c r="D2" s="346"/>
      <c r="E2" s="346"/>
      <c r="F2" s="346"/>
      <c r="G2" s="346"/>
      <c r="H2" s="346"/>
      <c r="I2" s="350"/>
      <c r="J2" s="346"/>
      <c r="K2" s="346"/>
      <c r="L2" s="346"/>
      <c r="M2" s="346"/>
      <c r="N2" s="346"/>
      <c r="O2" s="346"/>
      <c r="P2" s="346"/>
      <c r="Q2" s="516"/>
      <c r="R2" s="517"/>
      <c r="S2" s="517"/>
      <c r="T2" s="517"/>
      <c r="U2" s="517"/>
      <c r="V2" s="517"/>
      <c r="W2" s="517"/>
      <c r="X2" s="517"/>
    </row>
    <row r="3" spans="1:41" ht="15.75">
      <c r="A3" s="352" t="s">
        <v>906</v>
      </c>
      <c r="B3" s="346"/>
      <c r="C3" s="346"/>
      <c r="D3" s="346"/>
      <c r="E3" s="346"/>
      <c r="F3" s="346"/>
      <c r="G3" s="346"/>
      <c r="H3" s="346"/>
      <c r="I3" s="352" t="s">
        <v>907</v>
      </c>
      <c r="J3" s="346"/>
      <c r="K3" s="346"/>
      <c r="L3" s="346"/>
      <c r="M3" s="346"/>
      <c r="N3" s="346"/>
      <c r="O3" s="346"/>
      <c r="P3" s="346"/>
      <c r="R3" s="354" t="s">
        <v>800</v>
      </c>
    </row>
    <row r="4" spans="1:41" ht="15.75">
      <c r="A4" s="352" t="s">
        <v>966</v>
      </c>
      <c r="B4" s="346"/>
      <c r="C4" s="346"/>
      <c r="D4" s="346"/>
      <c r="E4" s="346"/>
      <c r="F4" s="346"/>
      <c r="G4" s="346"/>
      <c r="H4" s="346"/>
      <c r="I4" s="352" t="s">
        <v>966</v>
      </c>
      <c r="J4" s="346"/>
      <c r="K4" s="346"/>
      <c r="L4" s="346"/>
      <c r="M4" s="346"/>
      <c r="N4" s="346"/>
      <c r="O4" s="346"/>
      <c r="P4" s="346"/>
      <c r="R4" s="354" t="s">
        <v>800</v>
      </c>
    </row>
    <row r="5" spans="1:41">
      <c r="A5" s="355"/>
      <c r="B5" s="356"/>
      <c r="C5" s="356"/>
      <c r="D5" s="356"/>
      <c r="E5" s="356"/>
      <c r="F5" s="356"/>
      <c r="G5" s="356"/>
      <c r="H5" s="356"/>
      <c r="I5" s="357"/>
      <c r="L5" s="358"/>
      <c r="P5" s="355"/>
    </row>
    <row r="6" spans="1:41" s="365" customFormat="1" ht="12">
      <c r="A6" s="360"/>
      <c r="B6" s="361" t="s">
        <v>908</v>
      </c>
      <c r="C6" s="361"/>
      <c r="D6" s="361"/>
      <c r="E6" s="361"/>
      <c r="F6" s="361"/>
      <c r="G6" s="361"/>
      <c r="H6" s="362"/>
      <c r="I6" s="360"/>
      <c r="J6" s="361" t="s">
        <v>908</v>
      </c>
      <c r="K6" s="361"/>
      <c r="L6" s="361"/>
      <c r="M6" s="361"/>
      <c r="N6" s="361"/>
      <c r="O6" s="361"/>
      <c r="P6" s="362"/>
      <c r="Q6" s="429"/>
      <c r="R6" s="430"/>
    </row>
    <row r="7" spans="1:41" s="365" customFormat="1" ht="12">
      <c r="A7" s="360"/>
      <c r="B7" s="361" t="s">
        <v>909</v>
      </c>
      <c r="C7" s="361"/>
      <c r="D7" s="506" t="s">
        <v>910</v>
      </c>
      <c r="E7" s="504"/>
      <c r="F7" s="504"/>
      <c r="G7" s="504"/>
      <c r="H7" s="368" t="s">
        <v>800</v>
      </c>
      <c r="I7" s="360"/>
      <c r="J7" s="361" t="s">
        <v>909</v>
      </c>
      <c r="K7" s="361"/>
      <c r="L7" s="506" t="s">
        <v>910</v>
      </c>
      <c r="M7" s="504"/>
      <c r="N7" s="504"/>
      <c r="O7" s="504"/>
      <c r="P7" s="368" t="s">
        <v>800</v>
      </c>
      <c r="Q7" s="429"/>
      <c r="R7" s="430"/>
    </row>
    <row r="8" spans="1:41" s="365" customFormat="1" ht="40.5" customHeight="1">
      <c r="A8" s="360"/>
      <c r="B8" s="369" t="s">
        <v>911</v>
      </c>
      <c r="C8" s="370" t="s">
        <v>912</v>
      </c>
      <c r="D8" s="371" t="s">
        <v>913</v>
      </c>
      <c r="E8" s="372" t="s">
        <v>10</v>
      </c>
      <c r="F8" s="369" t="s">
        <v>914</v>
      </c>
      <c r="G8" s="373" t="s">
        <v>915</v>
      </c>
      <c r="H8" s="374" t="s">
        <v>916</v>
      </c>
      <c r="I8" s="360"/>
      <c r="J8" s="369" t="s">
        <v>911</v>
      </c>
      <c r="K8" s="370" t="s">
        <v>912</v>
      </c>
      <c r="L8" s="371" t="s">
        <v>913</v>
      </c>
      <c r="M8" s="372" t="s">
        <v>10</v>
      </c>
      <c r="N8" s="369" t="s">
        <v>914</v>
      </c>
      <c r="O8" s="373" t="s">
        <v>915</v>
      </c>
      <c r="P8" s="374" t="s">
        <v>916</v>
      </c>
      <c r="Q8" s="403" t="s">
        <v>917</v>
      </c>
      <c r="R8" s="403" t="s">
        <v>917</v>
      </c>
      <c r="T8" s="403"/>
    </row>
    <row r="9" spans="1:41" ht="15.75" customHeight="1">
      <c r="A9" s="377" t="s">
        <v>885</v>
      </c>
      <c r="B9" s="431">
        <f>('Pivot Table for Data Exchange'!$J$7)*100</f>
        <v>84.904003238444972</v>
      </c>
      <c r="C9" s="378">
        <f>('Pivot Table for Data Exchange'!$J$10)*100</f>
        <v>0.19984497279239144</v>
      </c>
      <c r="D9" s="379">
        <f>SUM(E9:G9)</f>
        <v>14.896151788762639</v>
      </c>
      <c r="E9" s="378">
        <f>('Pivot Table for Data Exchange'!$J$13)*100</f>
        <v>14.817998725529554</v>
      </c>
      <c r="F9" s="378">
        <f>('Pivot Table for Data Exchange'!$J$16)*100</f>
        <v>7.815306323308463E-2</v>
      </c>
      <c r="G9" s="411">
        <f>('Pivot Table for Data Exchange'!$J$19)*100</f>
        <v>0</v>
      </c>
      <c r="H9" s="378">
        <f>('Pivot Table for Data Exchange'!$J$22)*100</f>
        <v>0</v>
      </c>
      <c r="I9" s="404" t="s">
        <v>885</v>
      </c>
      <c r="J9" s="378">
        <f>('Pivot Table for Data Exchange'!$J$25)*100</f>
        <v>61.513299345996927</v>
      </c>
      <c r="K9" s="378">
        <f>('Pivot Table for Data Exchange'!$J$28)*100</f>
        <v>1.0998461798476347</v>
      </c>
      <c r="L9" s="379">
        <f>SUM(M9:O9)</f>
        <v>37.386854474155435</v>
      </c>
      <c r="M9" s="378">
        <f>('Pivot Table for Data Exchange'!$J$31)*100</f>
        <v>37.316255516880638</v>
      </c>
      <c r="N9" s="378">
        <f>('Pivot Table for Data Exchange'!$J$34)*100</f>
        <v>7.0598957274794677E-2</v>
      </c>
      <c r="O9" s="411">
        <f>('Pivot Table for Data Exchange'!$J$37)*100</f>
        <v>0</v>
      </c>
      <c r="P9" s="378">
        <f>('Pivot Table for Data Exchange'!$J$40)*100</f>
        <v>0</v>
      </c>
      <c r="Q9" s="383">
        <f>SUM(B9,C9,D9,H9)</f>
        <v>100</v>
      </c>
      <c r="R9" s="383">
        <f>SUM(J9,K9,L9,P9)</f>
        <v>100</v>
      </c>
      <c r="S9" s="432"/>
      <c r="T9" s="433"/>
      <c r="U9" s="433"/>
      <c r="V9" s="433"/>
      <c r="W9" s="433"/>
      <c r="X9" s="433"/>
      <c r="Y9" s="433"/>
      <c r="Z9" s="433"/>
      <c r="AA9" s="433"/>
      <c r="AB9" s="433"/>
      <c r="AC9" s="433"/>
      <c r="AD9" s="433"/>
      <c r="AE9" s="433"/>
      <c r="AF9" s="432"/>
      <c r="AG9" s="432"/>
      <c r="AH9" s="432"/>
      <c r="AI9" s="432"/>
      <c r="AJ9" s="432"/>
      <c r="AK9" s="432"/>
      <c r="AL9" s="432"/>
      <c r="AM9" s="432"/>
      <c r="AN9" s="432"/>
      <c r="AO9" s="432"/>
    </row>
    <row r="10" spans="1:41" ht="15.75" customHeight="1">
      <c r="A10" s="349" t="s">
        <v>886</v>
      </c>
      <c r="B10" s="378">
        <f>('Pivot Table for Data Exchange'!$J$43)*100</f>
        <v>77.083711168038207</v>
      </c>
      <c r="C10" s="378">
        <f>('Pivot Table for Data Exchange'!$J$46)*100</f>
        <v>3.8624624999055412</v>
      </c>
      <c r="D10" s="379">
        <f t="shared" ref="D10:D15" si="0">SUM(E10:G10)</f>
        <v>18.886067723092502</v>
      </c>
      <c r="E10" s="378">
        <f>('Pivot Table for Data Exchange'!$J$49)*100</f>
        <v>18.652849251509448</v>
      </c>
      <c r="F10" s="378">
        <f>('Pivot Table for Data Exchange'!$J$52)*100</f>
        <v>0.1364455577973748</v>
      </c>
      <c r="G10" s="386">
        <f>('Pivot Table for Data Exchange'!$J$55)*100</f>
        <v>9.6772913785677039E-2</v>
      </c>
      <c r="H10" s="378">
        <f>('Pivot Table for Data Exchange'!$J$58)*100</f>
        <v>0.16775860896375053</v>
      </c>
      <c r="I10" s="349" t="s">
        <v>886</v>
      </c>
      <c r="J10" s="378">
        <f>('Pivot Table for Data Exchange'!$J$61)*100</f>
        <v>44.490416635592204</v>
      </c>
      <c r="K10" s="378">
        <f>('Pivot Table for Data Exchange'!$J$64)*100</f>
        <v>1.8754924626863252</v>
      </c>
      <c r="L10" s="379">
        <f t="shared" ref="L10:L15" si="1">SUM(M10:O10)</f>
        <v>53.634090901721478</v>
      </c>
      <c r="M10" s="378">
        <f>('Pivot Table for Data Exchange'!$J$67)*100</f>
        <v>51.889597566788481</v>
      </c>
      <c r="N10" s="378">
        <f>('Pivot Table for Data Exchange'!$J$70)*100</f>
        <v>1.5577223013044788</v>
      </c>
      <c r="O10" s="386">
        <f>('Pivot Table for Data Exchange'!$J$73)*100</f>
        <v>0.18677103362851372</v>
      </c>
      <c r="P10" s="387">
        <f>('Pivot Table for Data Exchange'!$J$76)*100</f>
        <v>0</v>
      </c>
      <c r="Q10" s="383">
        <f>SUM(B10,C10,D10,H10)</f>
        <v>100.00000000000001</v>
      </c>
      <c r="R10" s="383">
        <f t="shared" ref="R10:R23" si="2">SUM(J10,K10,L10,P10)</f>
        <v>100</v>
      </c>
      <c r="S10" s="432"/>
      <c r="T10" s="433"/>
      <c r="U10" s="433"/>
      <c r="V10" s="433"/>
      <c r="W10" s="433"/>
      <c r="X10" s="433"/>
      <c r="Y10" s="433"/>
      <c r="Z10" s="433"/>
      <c r="AA10" s="433"/>
      <c r="AB10" s="433"/>
      <c r="AC10" s="433"/>
      <c r="AD10" s="433"/>
      <c r="AE10" s="433"/>
      <c r="AF10" s="432"/>
      <c r="AG10" s="432"/>
      <c r="AH10" s="432"/>
      <c r="AI10" s="432"/>
      <c r="AJ10" s="432"/>
      <c r="AK10" s="432"/>
      <c r="AL10" s="432"/>
      <c r="AM10" s="432"/>
      <c r="AN10" s="432"/>
      <c r="AO10" s="432"/>
    </row>
    <row r="11" spans="1:41" ht="15.75" customHeight="1">
      <c r="A11" s="349" t="s">
        <v>887</v>
      </c>
      <c r="B11" s="378">
        <f>('Pivot Table for Data Exchange'!$J$79)*100</f>
        <v>96.121136664285061</v>
      </c>
      <c r="C11" s="378">
        <f>('Pivot Table for Data Exchange'!$J$82)*100</f>
        <v>0</v>
      </c>
      <c r="D11" s="379">
        <f t="shared" si="0"/>
        <v>3.8788633357149425</v>
      </c>
      <c r="E11" s="378">
        <f>('Pivot Table for Data Exchange'!$J$85)*100</f>
        <v>3.8788633357149425</v>
      </c>
      <c r="F11" s="378">
        <f>('Pivot Table for Data Exchange'!$J$88)*100</f>
        <v>0</v>
      </c>
      <c r="G11" s="386">
        <f>('Pivot Table for Data Exchange'!$J$91)*100</f>
        <v>0</v>
      </c>
      <c r="H11" s="378">
        <f>('Pivot Table for Data Exchange'!$J$94)*100</f>
        <v>0</v>
      </c>
      <c r="I11" s="349" t="s">
        <v>887</v>
      </c>
      <c r="J11" s="378">
        <f>('Pivot Table for Data Exchange'!$J$97)*100</f>
        <v>88.24564918708495</v>
      </c>
      <c r="K11" s="378">
        <f>('Pivot Table for Data Exchange'!$J$100)*100</f>
        <v>0</v>
      </c>
      <c r="L11" s="379">
        <f t="shared" si="1"/>
        <v>11.754350812915044</v>
      </c>
      <c r="M11" s="378">
        <f>('Pivot Table for Data Exchange'!$J$103)*100</f>
        <v>11.754350812915044</v>
      </c>
      <c r="N11" s="378">
        <f>('Pivot Table for Data Exchange'!$J$106)*100</f>
        <v>0</v>
      </c>
      <c r="O11" s="386">
        <f>('Pivot Table for Data Exchange'!$J$109)*100</f>
        <v>0</v>
      </c>
      <c r="P11" s="378">
        <f>('Pivot Table for Data Exchange'!$J$112)*100</f>
        <v>0</v>
      </c>
      <c r="Q11" s="383">
        <f t="shared" ref="Q11:Q23" si="3">SUM(B11,C11,D11,H11)</f>
        <v>100</v>
      </c>
      <c r="R11" s="383">
        <f t="shared" si="2"/>
        <v>100</v>
      </c>
      <c r="S11" s="432"/>
      <c r="T11" s="433"/>
      <c r="U11" s="433"/>
      <c r="V11" s="433"/>
      <c r="W11" s="433"/>
      <c r="X11" s="433"/>
      <c r="Y11" s="433"/>
      <c r="Z11" s="433"/>
      <c r="AA11" s="433"/>
      <c r="AB11" s="433"/>
      <c r="AC11" s="433"/>
      <c r="AD11" s="433"/>
      <c r="AE11" s="433"/>
      <c r="AF11" s="432"/>
      <c r="AG11" s="432"/>
      <c r="AH11" s="432"/>
      <c r="AI11" s="432"/>
      <c r="AJ11" s="432"/>
      <c r="AK11" s="432"/>
      <c r="AL11" s="432"/>
      <c r="AM11" s="432"/>
      <c r="AN11" s="432"/>
      <c r="AO11" s="432"/>
    </row>
    <row r="12" spans="1:41" ht="15.75" customHeight="1">
      <c r="A12" s="349" t="s">
        <v>918</v>
      </c>
      <c r="B12" s="378">
        <f>('Pivot Table for Data Exchange'!$J$115)*100</f>
        <v>0</v>
      </c>
      <c r="C12" s="378">
        <f>('Pivot Table for Data Exchange'!$J$118)*100</f>
        <v>0</v>
      </c>
      <c r="D12" s="379">
        <f t="shared" si="0"/>
        <v>0</v>
      </c>
      <c r="E12" s="378">
        <f>('Pivot Table for Data Exchange'!$J$121)*100</f>
        <v>0</v>
      </c>
      <c r="F12" s="378">
        <f>('Pivot Table for Data Exchange'!$J$124)*100</f>
        <v>0</v>
      </c>
      <c r="G12" s="386">
        <f>('Pivot Table for Data Exchange'!$J$127)*100</f>
        <v>0</v>
      </c>
      <c r="H12" s="378">
        <f>('Pivot Table for Data Exchange'!$J$130)*100</f>
        <v>0</v>
      </c>
      <c r="I12" s="349" t="s">
        <v>918</v>
      </c>
      <c r="J12" s="378">
        <f>('Pivot Table for Data Exchange'!$J$133)*100</f>
        <v>0</v>
      </c>
      <c r="K12" s="378">
        <f>('Pivot Table for Data Exchange'!$J$136)*100</f>
        <v>0</v>
      </c>
      <c r="L12" s="379">
        <f t="shared" si="1"/>
        <v>0</v>
      </c>
      <c r="M12" s="378">
        <f>('Pivot Table for Data Exchange'!$J$139)*100</f>
        <v>0</v>
      </c>
      <c r="N12" s="378">
        <f>('Pivot Table for Data Exchange'!$J$142)*100</f>
        <v>0</v>
      </c>
      <c r="O12" s="385">
        <f>('Pivot Table for Data Exchange'!$J$145)*100</f>
        <v>0</v>
      </c>
      <c r="P12" s="390">
        <f>('Pivot Table for Data Exchange'!$J$148)*100</f>
        <v>0</v>
      </c>
      <c r="Q12" s="383">
        <f t="shared" si="3"/>
        <v>0</v>
      </c>
      <c r="R12" s="383">
        <f t="shared" si="2"/>
        <v>0</v>
      </c>
      <c r="S12" s="432"/>
      <c r="T12" s="433"/>
      <c r="U12" s="433"/>
      <c r="V12" s="433"/>
      <c r="W12" s="433"/>
      <c r="X12" s="433"/>
      <c r="Y12" s="433"/>
      <c r="Z12" s="433"/>
      <c r="AA12" s="433"/>
      <c r="AB12" s="433"/>
      <c r="AC12" s="433"/>
      <c r="AD12" s="433"/>
      <c r="AE12" s="433"/>
      <c r="AF12" s="432"/>
      <c r="AG12" s="432"/>
      <c r="AH12" s="432"/>
      <c r="AI12" s="432"/>
      <c r="AJ12" s="432"/>
      <c r="AK12" s="432"/>
      <c r="AL12" s="432"/>
      <c r="AM12" s="432"/>
      <c r="AN12" s="432"/>
      <c r="AO12" s="432"/>
    </row>
    <row r="13" spans="1:41" ht="9.75" customHeight="1">
      <c r="B13" s="378"/>
      <c r="C13" s="378"/>
      <c r="D13" s="379"/>
      <c r="E13" s="378"/>
      <c r="F13" s="378"/>
      <c r="G13" s="386"/>
      <c r="H13" s="378"/>
      <c r="I13" s="349"/>
      <c r="J13" s="378"/>
      <c r="K13" s="378"/>
      <c r="L13" s="379"/>
      <c r="M13" s="378"/>
      <c r="N13" s="378"/>
      <c r="O13" s="386"/>
      <c r="P13" s="378"/>
      <c r="Q13" s="383">
        <f t="shared" si="3"/>
        <v>0</v>
      </c>
      <c r="R13" s="383">
        <f t="shared" si="2"/>
        <v>0</v>
      </c>
      <c r="S13" s="432"/>
      <c r="T13" s="433"/>
      <c r="U13" s="433"/>
      <c r="V13" s="433"/>
      <c r="W13" s="433"/>
      <c r="X13" s="433"/>
      <c r="Y13" s="433"/>
      <c r="Z13" s="433"/>
      <c r="AA13" s="433"/>
      <c r="AB13" s="433"/>
      <c r="AC13" s="433"/>
      <c r="AD13" s="433"/>
      <c r="AE13" s="433"/>
      <c r="AF13" s="432"/>
      <c r="AG13" s="432"/>
      <c r="AH13" s="432"/>
      <c r="AI13" s="432"/>
      <c r="AJ13" s="432"/>
      <c r="AK13" s="432"/>
      <c r="AL13" s="432"/>
      <c r="AM13" s="432"/>
      <c r="AN13" s="432"/>
      <c r="AO13" s="432"/>
    </row>
    <row r="14" spans="1:41" ht="15.75" customHeight="1">
      <c r="A14" s="349" t="s">
        <v>889</v>
      </c>
      <c r="B14" s="378">
        <f>('Pivot Table for Data Exchange'!$J$151)*100</f>
        <v>82.425096877257971</v>
      </c>
      <c r="C14" s="378">
        <f>('Pivot Table for Data Exchange'!$J$154)*100</f>
        <v>1.5834342352970612</v>
      </c>
      <c r="D14" s="379">
        <f t="shared" si="0"/>
        <v>15.991468887444965</v>
      </c>
      <c r="E14" s="378">
        <f>('Pivot Table for Data Exchange'!$J$157)*100</f>
        <v>15.93004063120528</v>
      </c>
      <c r="F14" s="390">
        <f>('Pivot Table for Data Exchange'!$J$160)*100</f>
        <v>4.4611683499666779E-2</v>
      </c>
      <c r="G14" s="386">
        <f>('Pivot Table for Data Exchange'!$J$163)*100</f>
        <v>1.681657274001715E-2</v>
      </c>
      <c r="H14" s="390">
        <f>('Pivot Table for Data Exchange'!$J$166)*100</f>
        <v>0</v>
      </c>
      <c r="I14" s="349" t="s">
        <v>889</v>
      </c>
      <c r="J14" s="378">
        <f>('Pivot Table for Data Exchange'!$J$169)*100</f>
        <v>69.426817161892401</v>
      </c>
      <c r="K14" s="378">
        <f>('Pivot Table for Data Exchange'!$J$172)*100</f>
        <v>12.825410470255575</v>
      </c>
      <c r="L14" s="379">
        <f t="shared" si="1"/>
        <v>21.671418792911354</v>
      </c>
      <c r="M14" s="378">
        <f>('Pivot Table for Data Exchange'!$J$175)*100</f>
        <v>21.661836973310926</v>
      </c>
      <c r="N14" s="387">
        <f>('Pivot Table for Data Exchange'!$J$178)*100</f>
        <v>1.6909093412515127E-3</v>
      </c>
      <c r="O14" s="386">
        <f>('Pivot Table for Data Exchange'!$J$181)*100</f>
        <v>7.8909102591737269E-3</v>
      </c>
      <c r="P14" s="387">
        <f>('Pivot Table for Data Exchange'!$J$184)*100</f>
        <v>0</v>
      </c>
      <c r="Q14" s="383">
        <f t="shared" si="3"/>
        <v>100</v>
      </c>
      <c r="R14" s="383">
        <f>SUM(J14,K14,L14,P14)</f>
        <v>103.92364642505933</v>
      </c>
      <c r="S14" s="432"/>
      <c r="T14" s="433"/>
      <c r="U14" s="433"/>
      <c r="V14" s="433"/>
      <c r="W14" s="433"/>
      <c r="X14" s="433"/>
      <c r="Y14" s="433"/>
      <c r="Z14" s="433"/>
      <c r="AA14" s="433"/>
      <c r="AB14" s="433"/>
      <c r="AC14" s="433"/>
      <c r="AD14" s="433"/>
      <c r="AE14" s="433"/>
      <c r="AF14" s="432"/>
      <c r="AG14" s="432"/>
      <c r="AH14" s="432"/>
      <c r="AI14" s="432"/>
      <c r="AJ14" s="432"/>
      <c r="AK14" s="432"/>
      <c r="AL14" s="432"/>
      <c r="AM14" s="432"/>
      <c r="AN14" s="432"/>
      <c r="AO14" s="432"/>
    </row>
    <row r="15" spans="1:41" ht="15.75" customHeight="1">
      <c r="A15" s="349" t="s">
        <v>890</v>
      </c>
      <c r="B15" s="378">
        <f>('Pivot Table for Data Exchange'!$J$187)*100</f>
        <v>79.882528668073419</v>
      </c>
      <c r="C15" s="378">
        <f>('Pivot Table for Data Exchange'!$J$190)*100</f>
        <v>4.3863614378596951</v>
      </c>
      <c r="D15" s="379">
        <f t="shared" si="0"/>
        <v>15.731109894066885</v>
      </c>
      <c r="E15" s="378">
        <f>('Pivot Table for Data Exchange'!$J$193)*100</f>
        <v>14.809818040445183</v>
      </c>
      <c r="F15" s="378">
        <f>('Pivot Table for Data Exchange'!$J$196)*100</f>
        <v>0.85464458283111866</v>
      </c>
      <c r="G15" s="385">
        <f>('Pivot Table for Data Exchange'!$J$199)*100</f>
        <v>6.6647270790583024E-2</v>
      </c>
      <c r="H15" s="378">
        <f>('Pivot Table for Data Exchange'!$J$202)*100</f>
        <v>0</v>
      </c>
      <c r="I15" s="349" t="s">
        <v>890</v>
      </c>
      <c r="J15" s="378">
        <f>('Pivot Table for Data Exchange'!$J$205)*100</f>
        <v>60.622708902683733</v>
      </c>
      <c r="K15" s="378">
        <f>('Pivot Table for Data Exchange'!$J$208)*100</f>
        <v>3.5054767204164747</v>
      </c>
      <c r="L15" s="379">
        <f t="shared" si="1"/>
        <v>35.871814376899792</v>
      </c>
      <c r="M15" s="378">
        <f>('Pivot Table for Data Exchange'!$J$211)*100</f>
        <v>35.441690692862267</v>
      </c>
      <c r="N15" s="378">
        <f>('Pivot Table for Data Exchange'!$J$214)*100</f>
        <v>0.22664450308818787</v>
      </c>
      <c r="O15" s="385">
        <f>('Pivot Table for Data Exchange'!$J$217)*100</f>
        <v>0.20347918094933995</v>
      </c>
      <c r="P15" s="378">
        <f>('Pivot Table for Data Exchange'!$J$220)*100</f>
        <v>0</v>
      </c>
      <c r="Q15" s="383">
        <f t="shared" si="3"/>
        <v>100</v>
      </c>
      <c r="R15" s="383">
        <f t="shared" si="2"/>
        <v>100</v>
      </c>
      <c r="S15" s="432"/>
      <c r="T15" s="433"/>
      <c r="U15" s="433"/>
      <c r="V15" s="433"/>
      <c r="W15" s="433"/>
      <c r="X15" s="433"/>
      <c r="Y15" s="433"/>
      <c r="Z15" s="433"/>
      <c r="AA15" s="433"/>
      <c r="AB15" s="433"/>
      <c r="AC15" s="433"/>
      <c r="AD15" s="433"/>
      <c r="AE15" s="433"/>
      <c r="AF15" s="432"/>
      <c r="AG15" s="432"/>
      <c r="AH15" s="432"/>
      <c r="AI15" s="432"/>
      <c r="AJ15" s="432"/>
      <c r="AK15" s="432"/>
      <c r="AL15" s="432"/>
      <c r="AM15" s="432"/>
      <c r="AN15" s="432"/>
      <c r="AO15" s="432"/>
    </row>
    <row r="16" spans="1:41" ht="15.75" customHeight="1">
      <c r="A16" s="349" t="s">
        <v>891</v>
      </c>
      <c r="B16" s="378">
        <f>('Pivot Table for Data Exchange'!$J$223)*100</f>
        <v>84.326126611231771</v>
      </c>
      <c r="C16" s="378">
        <f>('Pivot Table for Data Exchange'!$J$226)*100</f>
        <v>0</v>
      </c>
      <c r="D16" s="379">
        <f>SUM(E16:G16)</f>
        <v>15.67387338876825</v>
      </c>
      <c r="E16" s="378">
        <f>('Pivot Table for Data Exchange'!$J$229)*100</f>
        <v>15.67387338876825</v>
      </c>
      <c r="F16" s="378">
        <f>('Pivot Table for Data Exchange'!$J$232)*100</f>
        <v>0</v>
      </c>
      <c r="G16" s="386">
        <f>('Pivot Table for Data Exchange'!$J$235)*100</f>
        <v>0</v>
      </c>
      <c r="H16" s="378">
        <f>('Pivot Table for Data Exchange'!$J$238)*100</f>
        <v>0</v>
      </c>
      <c r="I16" s="349" t="s">
        <v>891</v>
      </c>
      <c r="J16" s="378">
        <f>('Pivot Table for Data Exchange'!$J$241)*100</f>
        <v>73.789683272098372</v>
      </c>
      <c r="K16" s="378">
        <f>('Pivot Table for Data Exchange'!$J$244)*100</f>
        <v>0</v>
      </c>
      <c r="L16" s="379">
        <f>SUM(M16:O16)</f>
        <v>26.21031672790161</v>
      </c>
      <c r="M16" s="378">
        <f>('Pivot Table for Data Exchange'!$J$247)*100</f>
        <v>26.21031672790161</v>
      </c>
      <c r="N16" s="378">
        <f>('Pivot Table for Data Exchange'!$J$250)*100</f>
        <v>0</v>
      </c>
      <c r="O16" s="386">
        <f>('Pivot Table for Data Exchange'!$J$253)*100</f>
        <v>0</v>
      </c>
      <c r="P16" s="378">
        <f>('Pivot Table for Data Exchange'!$J$256)*100</f>
        <v>0</v>
      </c>
      <c r="Q16" s="383">
        <f>SUM(B16,C16,D16,H16)</f>
        <v>100.00000000000003</v>
      </c>
      <c r="R16" s="383">
        <f>SUM(J16,K16,L16,P16)</f>
        <v>99.999999999999986</v>
      </c>
      <c r="S16" s="432"/>
      <c r="T16" s="433"/>
      <c r="U16" s="433"/>
      <c r="V16" s="433"/>
      <c r="W16" s="433"/>
      <c r="X16" s="433"/>
      <c r="Y16" s="433"/>
      <c r="Z16" s="433"/>
      <c r="AA16" s="433"/>
      <c r="AB16" s="433"/>
      <c r="AC16" s="433"/>
      <c r="AD16" s="433"/>
      <c r="AE16" s="433"/>
      <c r="AF16" s="432"/>
      <c r="AG16" s="432"/>
      <c r="AH16" s="432"/>
      <c r="AI16" s="432"/>
      <c r="AJ16" s="432"/>
      <c r="AK16" s="432"/>
      <c r="AL16" s="432"/>
      <c r="AM16" s="432"/>
      <c r="AN16" s="432"/>
      <c r="AO16" s="432"/>
    </row>
    <row r="17" spans="1:41" ht="15.75" customHeight="1">
      <c r="A17" s="349" t="s">
        <v>892</v>
      </c>
      <c r="B17" s="378">
        <f>('Pivot Table for Data Exchange'!$J$259)*100</f>
        <v>67.657455109783996</v>
      </c>
      <c r="C17" s="378">
        <f>('Pivot Table for Data Exchange'!$J$262)*100</f>
        <v>2.8233656939148455</v>
      </c>
      <c r="D17" s="379">
        <f>SUM(E17:G17)</f>
        <v>29.519179196301163</v>
      </c>
      <c r="E17" s="378">
        <f>('Pivot Table for Data Exchange'!$J$265)*100</f>
        <v>29.329600753372493</v>
      </c>
      <c r="F17" s="378">
        <f>('Pivot Table for Data Exchange'!$J$268)*100</f>
        <v>0.18957844292867237</v>
      </c>
      <c r="G17" s="386">
        <f>('Pivot Table for Data Exchange'!$J$271)*100</f>
        <v>0</v>
      </c>
      <c r="H17" s="434">
        <f>('Pivot Table for Data Exchange'!$J$274)*100</f>
        <v>0</v>
      </c>
      <c r="I17" s="349" t="s">
        <v>892</v>
      </c>
      <c r="J17" s="378">
        <f>('Pivot Table for Data Exchange'!$J$277)*100</f>
        <v>46.799255583324488</v>
      </c>
      <c r="K17" s="378">
        <f>('Pivot Table for Data Exchange'!$J$280)*100</f>
        <v>6.72894601862318</v>
      </c>
      <c r="L17" s="379">
        <f>SUM(M17:O17)</f>
        <v>46.471798398052329</v>
      </c>
      <c r="M17" s="378">
        <f>('Pivot Table for Data Exchange'!$J$283)*100</f>
        <v>45.818319893363032</v>
      </c>
      <c r="N17" s="378">
        <f>('Pivot Table for Data Exchange'!$J$286)*100</f>
        <v>0.65347850468929858</v>
      </c>
      <c r="O17" s="386">
        <f>('Pivot Table for Data Exchange'!$J$289)*100</f>
        <v>0</v>
      </c>
      <c r="P17" s="378">
        <f>('Pivot Table for Data Exchange'!$J$292)*100</f>
        <v>0</v>
      </c>
      <c r="Q17" s="383">
        <f>SUM(B17,C17,D17,H17)</f>
        <v>100.00000000000001</v>
      </c>
      <c r="R17" s="383">
        <f>SUM(J17,K17,L17,P17)</f>
        <v>100</v>
      </c>
      <c r="S17" s="432"/>
      <c r="T17" s="433"/>
      <c r="U17" s="433"/>
      <c r="V17" s="433"/>
      <c r="W17" s="433"/>
      <c r="X17" s="433"/>
      <c r="Y17" s="433"/>
      <c r="Z17" s="433"/>
      <c r="AA17" s="433"/>
      <c r="AB17" s="433"/>
      <c r="AC17" s="433"/>
      <c r="AD17" s="433"/>
      <c r="AE17" s="433"/>
      <c r="AF17" s="432"/>
      <c r="AG17" s="432"/>
      <c r="AH17" s="432"/>
      <c r="AI17" s="432"/>
      <c r="AJ17" s="432"/>
      <c r="AK17" s="432"/>
      <c r="AL17" s="432"/>
      <c r="AM17" s="432"/>
      <c r="AN17" s="432"/>
      <c r="AO17" s="432"/>
    </row>
    <row r="18" spans="1:41" ht="11.25" customHeight="1">
      <c r="B18" s="378"/>
      <c r="C18" s="378"/>
      <c r="D18" s="379"/>
      <c r="E18" s="378"/>
      <c r="F18" s="378"/>
      <c r="G18" s="386"/>
      <c r="H18" s="378"/>
      <c r="I18" s="349"/>
      <c r="J18" s="378"/>
      <c r="K18" s="378"/>
      <c r="L18" s="379"/>
      <c r="M18" s="378"/>
      <c r="N18" s="378"/>
      <c r="O18" s="386"/>
      <c r="P18" s="378"/>
      <c r="Q18" s="383">
        <f t="shared" si="3"/>
        <v>0</v>
      </c>
      <c r="R18" s="383">
        <f t="shared" si="2"/>
        <v>0</v>
      </c>
      <c r="S18" s="432"/>
      <c r="T18" s="433"/>
      <c r="U18" s="433"/>
      <c r="V18" s="433"/>
      <c r="W18" s="433"/>
      <c r="X18" s="433"/>
      <c r="Y18" s="433"/>
      <c r="Z18" s="433"/>
      <c r="AA18" s="433"/>
      <c r="AB18" s="433"/>
      <c r="AC18" s="433"/>
      <c r="AD18" s="433"/>
      <c r="AE18" s="433"/>
      <c r="AF18" s="432"/>
      <c r="AG18" s="432"/>
      <c r="AH18" s="432"/>
      <c r="AI18" s="432"/>
      <c r="AJ18" s="432"/>
      <c r="AK18" s="432"/>
      <c r="AL18" s="432"/>
      <c r="AM18" s="432"/>
      <c r="AN18" s="432"/>
      <c r="AO18" s="432"/>
    </row>
    <row r="19" spans="1:41" ht="15.75" customHeight="1">
      <c r="A19" s="349" t="s">
        <v>893</v>
      </c>
      <c r="B19" s="378">
        <f>('Pivot Table for Data Exchange'!$J$295)*100</f>
        <v>78.227890998610988</v>
      </c>
      <c r="C19" s="378">
        <f>('Pivot Table for Data Exchange'!$J$298)*100</f>
        <v>4.6962032557090385</v>
      </c>
      <c r="D19" s="379">
        <f>SUM(E19:G19)</f>
        <v>16.892862500634067</v>
      </c>
      <c r="E19" s="378">
        <f>('Pivot Table for Data Exchange'!$J$301)*100</f>
        <v>15.975487746571446</v>
      </c>
      <c r="F19" s="378">
        <f>('Pivot Table for Data Exchange'!$J$304)*100</f>
        <v>0.91737475406262114</v>
      </c>
      <c r="G19" s="389">
        <f>('Pivot Table for Data Exchange'!$J$307)*100</f>
        <v>0</v>
      </c>
      <c r="H19" s="378">
        <f>('Pivot Table for Data Exchange'!$J$310)*100</f>
        <v>0.18304324504590652</v>
      </c>
      <c r="I19" s="349" t="s">
        <v>893</v>
      </c>
      <c r="J19" s="378">
        <f>('Pivot Table for Data Exchange'!$J$313)*100</f>
        <v>59.716093530649275</v>
      </c>
      <c r="K19" s="378">
        <f>('Pivot Table for Data Exchange'!$J$316)*100</f>
        <v>5.7143316854583412</v>
      </c>
      <c r="L19" s="379">
        <f>SUM(M19:O19)</f>
        <v>34.501997160130813</v>
      </c>
      <c r="M19" s="378">
        <f>('Pivot Table for Data Exchange'!$J$319)*100</f>
        <v>33.682618472021659</v>
      </c>
      <c r="N19" s="378">
        <f>('Pivot Table for Data Exchange'!$J$322)*100</f>
        <v>0.80731125529458614</v>
      </c>
      <c r="O19" s="385">
        <f>('Pivot Table for Data Exchange'!$J$325)*100</f>
        <v>1.2067432814567805E-2</v>
      </c>
      <c r="P19" s="390">
        <f>('Pivot Table for Data Exchange'!$J$328)*100</f>
        <v>6.7577623761579705E-2</v>
      </c>
      <c r="Q19" s="383">
        <f>SUM(B19,C19,D19,H19)</f>
        <v>100</v>
      </c>
      <c r="R19" s="383">
        <f>SUM(J19,K19,L19,P19)</f>
        <v>100.00000000000001</v>
      </c>
      <c r="S19" s="432"/>
      <c r="T19" s="433"/>
      <c r="U19" s="433"/>
      <c r="V19" s="433"/>
      <c r="W19" s="433"/>
      <c r="X19" s="433"/>
      <c r="Y19" s="433"/>
      <c r="Z19" s="433"/>
      <c r="AA19" s="433"/>
      <c r="AB19" s="433"/>
      <c r="AC19" s="433"/>
      <c r="AD19" s="433"/>
      <c r="AE19" s="433"/>
      <c r="AF19" s="432"/>
      <c r="AG19" s="432"/>
      <c r="AH19" s="432"/>
      <c r="AI19" s="432"/>
      <c r="AJ19" s="432"/>
      <c r="AK19" s="432"/>
      <c r="AL19" s="432"/>
      <c r="AM19" s="432"/>
      <c r="AN19" s="432"/>
      <c r="AO19" s="432"/>
    </row>
    <row r="20" spans="1:41" ht="15.75" customHeight="1">
      <c r="A20" s="349" t="s">
        <v>894</v>
      </c>
      <c r="B20" s="378">
        <f>('Pivot Table for Data Exchange'!$J$331)*100</f>
        <v>83.916356183791436</v>
      </c>
      <c r="C20" s="378">
        <f>('Pivot Table for Data Exchange'!$J$334)*100</f>
        <v>0.4298414277757478</v>
      </c>
      <c r="D20" s="379">
        <f>SUM(E20:G20)</f>
        <v>15.653802388432808</v>
      </c>
      <c r="E20" s="378">
        <f>('Pivot Table for Data Exchange'!$J$337)*100</f>
        <v>15.301790899729545</v>
      </c>
      <c r="F20" s="378">
        <f>('Pivot Table for Data Exchange'!$J$340)*100</f>
        <v>7.0896701323842848E-2</v>
      </c>
      <c r="G20" s="385">
        <f>('Pivot Table for Data Exchange'!$J$343)*100</f>
        <v>0.28111478737942153</v>
      </c>
      <c r="H20" s="378">
        <f>('Pivot Table for Data Exchange'!$J$346)*100</f>
        <v>0</v>
      </c>
      <c r="I20" s="349" t="s">
        <v>894</v>
      </c>
      <c r="J20" s="378">
        <f>('Pivot Table for Data Exchange'!$J$349)*100</f>
        <v>69.375290802536583</v>
      </c>
      <c r="K20" s="378">
        <f>('Pivot Table for Data Exchange'!$J$352)*100</f>
        <v>3.1768706771712818</v>
      </c>
      <c r="L20" s="379">
        <f>SUM(M20:O20)</f>
        <v>27.447838520292137</v>
      </c>
      <c r="M20" s="378">
        <f>('Pivot Table for Data Exchange'!$J$355)*100</f>
        <v>26.799708282579033</v>
      </c>
      <c r="N20" s="378">
        <f>('Pivot Table for Data Exchange'!$J$358)*100</f>
        <v>6.456469800973437E-2</v>
      </c>
      <c r="O20" s="386">
        <f>('Pivot Table for Data Exchange'!$J$361)*100</f>
        <v>0.58356553970336833</v>
      </c>
      <c r="P20" s="378">
        <f>('Pivot Table for Data Exchange'!$J$364)*100</f>
        <v>0</v>
      </c>
      <c r="Q20" s="383">
        <f>SUM(B20,C20,D20,H20)</f>
        <v>99.999999999999986</v>
      </c>
      <c r="R20" s="383">
        <f>SUM(J20,K20,L20,P20)</f>
        <v>100</v>
      </c>
      <c r="S20" s="432"/>
      <c r="T20" s="433"/>
      <c r="U20" s="433"/>
      <c r="V20" s="433"/>
      <c r="W20" s="433"/>
      <c r="X20" s="433"/>
      <c r="Y20" s="433"/>
      <c r="Z20" s="433"/>
      <c r="AA20" s="433"/>
      <c r="AB20" s="433"/>
      <c r="AC20" s="433"/>
      <c r="AD20" s="433"/>
      <c r="AE20" s="433"/>
      <c r="AF20" s="432"/>
      <c r="AG20" s="432"/>
      <c r="AH20" s="432"/>
      <c r="AI20" s="432"/>
      <c r="AJ20" s="432"/>
      <c r="AK20" s="432"/>
      <c r="AL20" s="432"/>
      <c r="AM20" s="432"/>
      <c r="AN20" s="432"/>
      <c r="AO20" s="432"/>
    </row>
    <row r="21" spans="1:41" ht="15.75" customHeight="1">
      <c r="A21" s="349" t="s">
        <v>895</v>
      </c>
      <c r="B21" s="378">
        <f>('Pivot Table for Data Exchange'!$J$367)*100</f>
        <v>80.256365758463573</v>
      </c>
      <c r="C21" s="378">
        <f>('Pivot Table for Data Exchange'!$J$370)*100</f>
        <v>0.74176441164160511</v>
      </c>
      <c r="D21" s="379">
        <f>SUM(E21:G21)</f>
        <v>18.983197051827805</v>
      </c>
      <c r="E21" s="378">
        <f>('Pivot Table for Data Exchange'!$J$373)*100</f>
        <v>17.559089346903637</v>
      </c>
      <c r="F21" s="378">
        <f>('Pivot Table for Data Exchange'!$J$376)*100</f>
        <v>1.0338083620017897</v>
      </c>
      <c r="G21" s="386">
        <f>('Pivot Table for Data Exchange'!$J$379)*100</f>
        <v>0.39029934292237911</v>
      </c>
      <c r="H21" s="378">
        <f>('Pivot Table for Data Exchange'!$J$382)*100</f>
        <v>1.867277806701443E-2</v>
      </c>
      <c r="I21" s="349" t="s">
        <v>895</v>
      </c>
      <c r="J21" s="378">
        <f>('Pivot Table for Data Exchange'!$J$385)*100</f>
        <v>66.662701997229007</v>
      </c>
      <c r="K21" s="378">
        <f>('Pivot Table for Data Exchange'!$J$388)*100</f>
        <v>6.1553100317923626</v>
      </c>
      <c r="L21" s="379">
        <f>SUM(M21:O21)</f>
        <v>27.181987970978621</v>
      </c>
      <c r="M21" s="378">
        <f>('Pivot Table for Data Exchange'!$J$391)*100</f>
        <v>24.32163970155683</v>
      </c>
      <c r="N21" s="378">
        <f>('Pivot Table for Data Exchange'!$J$394)*100</f>
        <v>0.70560400667350298</v>
      </c>
      <c r="O21" s="386">
        <f>('Pivot Table for Data Exchange'!$J$397)*100</f>
        <v>2.1547442627482876</v>
      </c>
      <c r="P21" s="378">
        <f>('Pivot Table for Data Exchange'!$J$400)*100</f>
        <v>0</v>
      </c>
      <c r="Q21" s="383">
        <f>SUM(B21,C21,D21,H21)</f>
        <v>100</v>
      </c>
      <c r="R21" s="383">
        <f>SUM(J21,K21,L21,P21)</f>
        <v>100</v>
      </c>
      <c r="S21" s="432"/>
      <c r="T21" s="433"/>
      <c r="U21" s="433"/>
      <c r="V21" s="433"/>
      <c r="W21" s="433"/>
      <c r="X21" s="433"/>
      <c r="Y21" s="433"/>
      <c r="Z21" s="433"/>
      <c r="AA21" s="433"/>
      <c r="AB21" s="433"/>
      <c r="AC21" s="433"/>
      <c r="AD21" s="433"/>
      <c r="AE21" s="433"/>
      <c r="AF21" s="432"/>
      <c r="AG21" s="432"/>
      <c r="AH21" s="432"/>
      <c r="AI21" s="432"/>
      <c r="AJ21" s="432"/>
      <c r="AK21" s="432"/>
      <c r="AL21" s="432"/>
      <c r="AM21" s="432"/>
      <c r="AN21" s="432"/>
      <c r="AO21" s="432"/>
    </row>
    <row r="22" spans="1:41" ht="15.75" customHeight="1">
      <c r="A22" s="349" t="s">
        <v>896</v>
      </c>
      <c r="B22" s="378">
        <f>('Pivot Table for Data Exchange'!$J$403)*100</f>
        <v>89.590268886043532</v>
      </c>
      <c r="C22" s="378">
        <f>('Pivot Table for Data Exchange'!$J$406)*100</f>
        <v>0.7223918491524125</v>
      </c>
      <c r="D22" s="379">
        <f>SUM(E22:G22)</f>
        <v>9.6873392648040522</v>
      </c>
      <c r="E22" s="378">
        <f>('Pivot Table for Data Exchange'!$J$409)*100</f>
        <v>9.686244897512502</v>
      </c>
      <c r="F22" s="378">
        <f>('Pivot Table for Data Exchange'!$J$412)*100</f>
        <v>4.37746916620156E-4</v>
      </c>
      <c r="G22" s="386">
        <f>('Pivot Table for Data Exchange'!$J$415)*100</f>
        <v>6.5662037493023412E-4</v>
      </c>
      <c r="H22" s="378">
        <f>('Pivot Table for Data Exchange'!$J$418)*100</f>
        <v>0</v>
      </c>
      <c r="I22" s="349" t="s">
        <v>896</v>
      </c>
      <c r="J22" s="378">
        <f>('Pivot Table for Data Exchange'!$J$421)*100</f>
        <v>65.588512416339</v>
      </c>
      <c r="K22" s="378">
        <f>('Pivot Table for Data Exchange'!$J$424)*100</f>
        <v>10.223468326951661</v>
      </c>
      <c r="L22" s="379">
        <f>SUM(M22:O22)</f>
        <v>24.188019256709349</v>
      </c>
      <c r="M22" s="378">
        <f>('Pivot Table for Data Exchange'!$J$427)*100</f>
        <v>22.541862722917031</v>
      </c>
      <c r="N22" s="378">
        <f>('Pivot Table for Data Exchange'!$J$430)*100</f>
        <v>1.6461565337923174</v>
      </c>
      <c r="O22" s="386">
        <f>('Pivot Table for Data Exchange'!$J$433)*100</f>
        <v>0</v>
      </c>
      <c r="P22" s="378">
        <f>('Pivot Table for Data Exchange'!$J$436)*100</f>
        <v>0</v>
      </c>
      <c r="Q22" s="383">
        <f>SUM(B22,C22,D22,H22)</f>
        <v>100</v>
      </c>
      <c r="R22" s="383">
        <f>SUM(J22,K22,L22,P22)</f>
        <v>100.00000000000001</v>
      </c>
      <c r="S22" s="432"/>
      <c r="T22" s="433"/>
      <c r="U22" s="433"/>
      <c r="V22" s="433"/>
      <c r="W22" s="433"/>
      <c r="X22" s="433"/>
      <c r="Y22" s="433"/>
      <c r="Z22" s="433"/>
      <c r="AA22" s="433"/>
      <c r="AB22" s="433"/>
      <c r="AC22" s="433"/>
      <c r="AD22" s="433"/>
      <c r="AE22" s="433"/>
      <c r="AF22" s="432"/>
      <c r="AG22" s="432"/>
      <c r="AH22" s="432"/>
      <c r="AI22" s="432"/>
      <c r="AJ22" s="432"/>
      <c r="AK22" s="432"/>
      <c r="AL22" s="432"/>
      <c r="AM22" s="432"/>
      <c r="AN22" s="432"/>
      <c r="AO22" s="432"/>
    </row>
    <row r="23" spans="1:41" ht="9.75" customHeight="1">
      <c r="B23" s="378"/>
      <c r="C23" s="378"/>
      <c r="D23" s="379"/>
      <c r="E23" s="378"/>
      <c r="F23" s="378"/>
      <c r="G23" s="386"/>
      <c r="H23" s="378"/>
      <c r="I23" s="349"/>
      <c r="J23" s="378"/>
      <c r="K23" s="378"/>
      <c r="L23" s="379"/>
      <c r="M23" s="378"/>
      <c r="N23" s="378"/>
      <c r="O23" s="386"/>
      <c r="P23" s="378"/>
      <c r="Q23" s="383">
        <f t="shared" si="3"/>
        <v>0</v>
      </c>
      <c r="R23" s="383">
        <f t="shared" si="2"/>
        <v>0</v>
      </c>
      <c r="S23" s="432"/>
      <c r="T23" s="433"/>
      <c r="U23" s="433"/>
      <c r="V23" s="433"/>
      <c r="W23" s="433"/>
      <c r="X23" s="433"/>
      <c r="Y23" s="433"/>
      <c r="Z23" s="433"/>
      <c r="AA23" s="433"/>
      <c r="AB23" s="433"/>
      <c r="AC23" s="433"/>
      <c r="AD23" s="433"/>
      <c r="AE23" s="433"/>
      <c r="AF23" s="432"/>
      <c r="AG23" s="432"/>
      <c r="AH23" s="432"/>
      <c r="AI23" s="432"/>
      <c r="AJ23" s="432"/>
      <c r="AK23" s="432"/>
      <c r="AL23" s="432"/>
      <c r="AM23" s="432"/>
      <c r="AN23" s="432"/>
      <c r="AO23" s="432"/>
    </row>
    <row r="24" spans="1:41" ht="15.75" customHeight="1">
      <c r="A24" s="349" t="s">
        <v>897</v>
      </c>
      <c r="B24" s="378">
        <f>('Pivot Table for Data Exchange'!$J$439)*100</f>
        <v>77.179566703933773</v>
      </c>
      <c r="C24" s="378">
        <f>('Pivot Table for Data Exchange'!$J$442)*100</f>
        <v>2.6238769928361845</v>
      </c>
      <c r="D24" s="379">
        <f>SUM(E24:G24)</f>
        <v>19.577721542302676</v>
      </c>
      <c r="E24" s="378">
        <f>('Pivot Table for Data Exchange'!$J$445)*100</f>
        <v>14.025849056731543</v>
      </c>
      <c r="F24" s="378">
        <f>('Pivot Table for Data Exchange'!$J$448)*100</f>
        <v>0.3684838158982669</v>
      </c>
      <c r="G24" s="386">
        <f>('Pivot Table for Data Exchange'!$J$451)*100</f>
        <v>5.1833886696728646</v>
      </c>
      <c r="H24" s="378">
        <f>('Pivot Table for Data Exchange'!$J$454)*100</f>
        <v>0.61883476092737522</v>
      </c>
      <c r="I24" s="349" t="s">
        <v>897</v>
      </c>
      <c r="J24" s="378">
        <f>('Pivot Table for Data Exchange'!$J$457)*100</f>
        <v>56.673647502534898</v>
      </c>
      <c r="K24" s="378">
        <f>('Pivot Table for Data Exchange'!$J$460)*100</f>
        <v>4.1802887728574998</v>
      </c>
      <c r="L24" s="379">
        <f>SUM(M24:O24)</f>
        <v>35.453169962821519</v>
      </c>
      <c r="M24" s="378">
        <f>('Pivot Table for Data Exchange'!$J$463)*100</f>
        <v>32.363597310009126</v>
      </c>
      <c r="N24" s="378">
        <f>('Pivot Table for Data Exchange'!$J$466)*100</f>
        <v>0.1402484672169208</v>
      </c>
      <c r="O24" s="386">
        <f>('Pivot Table for Data Exchange'!$J$469)*100</f>
        <v>2.9493241855954717</v>
      </c>
      <c r="P24" s="378">
        <f>('Pivot Table for Data Exchange'!$J$472)*100</f>
        <v>3.6928937617860833</v>
      </c>
      <c r="Q24" s="383">
        <f>SUM(B24,C24,D24,H24)</f>
        <v>100</v>
      </c>
      <c r="R24" s="383">
        <f>SUM(J24,K24,L24,P24)</f>
        <v>100</v>
      </c>
      <c r="S24" s="432"/>
      <c r="T24" s="433"/>
      <c r="U24" s="433"/>
      <c r="V24" s="433"/>
      <c r="W24" s="433"/>
      <c r="X24" s="433"/>
      <c r="Y24" s="433"/>
      <c r="Z24" s="433"/>
      <c r="AA24" s="433"/>
      <c r="AB24" s="433"/>
      <c r="AC24" s="433"/>
      <c r="AD24" s="433"/>
      <c r="AE24" s="433"/>
      <c r="AF24" s="432"/>
      <c r="AG24" s="432"/>
      <c r="AH24" s="432"/>
      <c r="AI24" s="432"/>
      <c r="AJ24" s="432"/>
      <c r="AK24" s="432"/>
      <c r="AL24" s="432"/>
      <c r="AM24" s="432"/>
      <c r="AN24" s="432"/>
      <c r="AO24" s="432"/>
    </row>
    <row r="25" spans="1:41" ht="15.75" customHeight="1">
      <c r="A25" s="349" t="s">
        <v>898</v>
      </c>
      <c r="B25" s="378">
        <f>('Pivot Table for Data Exchange'!$J$475)*100</f>
        <v>79.403158963382964</v>
      </c>
      <c r="C25" s="378">
        <f>('Pivot Table for Data Exchange'!$J$478)*100</f>
        <v>1.5937846813065815</v>
      </c>
      <c r="D25" s="379">
        <f>SUM(E25:G25)</f>
        <v>19.003056355310449</v>
      </c>
      <c r="E25" s="378">
        <f>('Pivot Table for Data Exchange'!$J$481)*100</f>
        <v>18.140568467700575</v>
      </c>
      <c r="F25" s="378">
        <f>('Pivot Table for Data Exchange'!$J$484)*100</f>
        <v>0.52292771564339957</v>
      </c>
      <c r="G25" s="386">
        <f>('Pivot Table for Data Exchange'!$J$487)*100</f>
        <v>0.3395601719664767</v>
      </c>
      <c r="H25" s="378">
        <f>('Pivot Table for Data Exchange'!$J$490)*100</f>
        <v>0</v>
      </c>
      <c r="I25" s="349" t="s">
        <v>898</v>
      </c>
      <c r="J25" s="378">
        <f>('Pivot Table for Data Exchange'!$J$493)*100</f>
        <v>61.378842648937649</v>
      </c>
      <c r="K25" s="378">
        <f>('Pivot Table for Data Exchange'!$J$496)*100</f>
        <v>2.3403406884179261</v>
      </c>
      <c r="L25" s="379">
        <f>SUM(M25:O25)</f>
        <v>36.280816662644419</v>
      </c>
      <c r="M25" s="378">
        <f>('Pivot Table for Data Exchange'!$J$499)*100</f>
        <v>35.182916966172492</v>
      </c>
      <c r="N25" s="378">
        <f>('Pivot Table for Data Exchange'!$J$502)*100</f>
        <v>0.37316047197793217</v>
      </c>
      <c r="O25" s="386">
        <f>('Pivot Table for Data Exchange'!$J$505)*100</f>
        <v>0.72473922449399741</v>
      </c>
      <c r="P25" s="378">
        <f>('Pivot Table for Data Exchange'!$J$508)*100</f>
        <v>0</v>
      </c>
      <c r="Q25" s="383">
        <f>SUM(B25,C25,D25,H25)</f>
        <v>100</v>
      </c>
      <c r="R25" s="383">
        <f>SUM(J25,K25,L25,P25)</f>
        <v>100</v>
      </c>
      <c r="S25" s="432"/>
      <c r="T25" s="433"/>
      <c r="U25" s="433"/>
      <c r="V25" s="433"/>
      <c r="W25" s="433"/>
      <c r="X25" s="433"/>
      <c r="Y25" s="433"/>
      <c r="Z25" s="433"/>
      <c r="AA25" s="433"/>
      <c r="AB25" s="433"/>
      <c r="AC25" s="433"/>
      <c r="AD25" s="433"/>
      <c r="AE25" s="433"/>
      <c r="AF25" s="432"/>
      <c r="AG25" s="432"/>
      <c r="AH25" s="432"/>
      <c r="AI25" s="432"/>
      <c r="AJ25" s="432"/>
      <c r="AK25" s="432"/>
      <c r="AL25" s="432"/>
      <c r="AM25" s="432"/>
      <c r="AN25" s="432"/>
      <c r="AO25" s="432"/>
    </row>
    <row r="26" spans="1:41" ht="15.75" customHeight="1">
      <c r="A26" s="349" t="s">
        <v>899</v>
      </c>
      <c r="B26" s="378">
        <f>('Pivot Table for Data Exchange'!$J$511)*100</f>
        <v>89.8961228758305</v>
      </c>
      <c r="C26" s="378">
        <f>('Pivot Table for Data Exchange'!$J$514)*100</f>
        <v>1.3771078911518444</v>
      </c>
      <c r="D26" s="379">
        <f>SUM(E26:G26)</f>
        <v>8.7267692330176594</v>
      </c>
      <c r="E26" s="378">
        <f>('Pivot Table for Data Exchange'!$J$517)*100</f>
        <v>8.1066200930893206</v>
      </c>
      <c r="F26" s="378">
        <f>('Pivot Table for Data Exchange'!$J$520)*100</f>
        <v>0.61533197196628697</v>
      </c>
      <c r="G26" s="386">
        <f>('Pivot Table for Data Exchange'!$J$523)*100</f>
        <v>4.8171679620528001E-3</v>
      </c>
      <c r="H26" s="378">
        <f>('Pivot Table for Data Exchange'!$J$526)*100</f>
        <v>0</v>
      </c>
      <c r="I26" s="349" t="s">
        <v>899</v>
      </c>
      <c r="J26" s="378">
        <f>('Pivot Table for Data Exchange'!$J$529)*100</f>
        <v>77.669170969880497</v>
      </c>
      <c r="K26" s="378">
        <f>('Pivot Table for Data Exchange'!$J$532)*100</f>
        <v>7.8337148852821104</v>
      </c>
      <c r="L26" s="379">
        <f>SUM(M26:O26)</f>
        <v>14.497114144837392</v>
      </c>
      <c r="M26" s="378">
        <f>('Pivot Table for Data Exchange'!$J$535)*100</f>
        <v>11.248112782386627</v>
      </c>
      <c r="N26" s="378">
        <f>('Pivot Table for Data Exchange'!$J$538)*100</f>
        <v>2.9830073563061053</v>
      </c>
      <c r="O26" s="386">
        <f>('Pivot Table for Data Exchange'!$J$541)*100</f>
        <v>0.26599400614465873</v>
      </c>
      <c r="P26" s="378">
        <f>('Pivot Table for Data Exchange'!$J$544)*100</f>
        <v>0</v>
      </c>
      <c r="Q26" s="383">
        <f>SUM(B26,C26,D26,H26)</f>
        <v>100.00000000000001</v>
      </c>
      <c r="R26" s="383">
        <f>SUM(J26,K26,L26,P26)</f>
        <v>100</v>
      </c>
      <c r="S26" s="432"/>
      <c r="T26" s="433"/>
      <c r="U26" s="433"/>
      <c r="V26" s="433"/>
      <c r="W26" s="433"/>
      <c r="X26" s="433"/>
      <c r="Y26" s="433"/>
      <c r="Z26" s="433"/>
      <c r="AA26" s="433"/>
      <c r="AB26" s="433"/>
      <c r="AC26" s="433"/>
      <c r="AD26" s="433"/>
      <c r="AE26" s="433"/>
      <c r="AF26" s="432"/>
      <c r="AG26" s="432"/>
      <c r="AH26" s="432"/>
      <c r="AI26" s="432"/>
      <c r="AJ26" s="432"/>
      <c r="AK26" s="432"/>
      <c r="AL26" s="432"/>
      <c r="AM26" s="432"/>
      <c r="AN26" s="432"/>
      <c r="AO26" s="432"/>
    </row>
    <row r="27" spans="1:41" ht="15.75" customHeight="1">
      <c r="A27" s="355" t="s">
        <v>900</v>
      </c>
      <c r="B27" s="391">
        <f>('Pivot Table for Data Exchange'!$J$547)*100</f>
        <v>81.26832813050919</v>
      </c>
      <c r="C27" s="391">
        <f>('Pivot Table for Data Exchange'!$J$550)*100</f>
        <v>4.0673758560293996</v>
      </c>
      <c r="D27" s="392">
        <f>SUM(E27:G27)</f>
        <v>14.66429601346141</v>
      </c>
      <c r="E27" s="391">
        <f>('Pivot Table for Data Exchange'!$J$553)*100</f>
        <v>13.897918583685204</v>
      </c>
      <c r="F27" s="391">
        <f>('Pivot Table for Data Exchange'!$J$556)*100</f>
        <v>0.46904247969751955</v>
      </c>
      <c r="G27" s="393">
        <f>('Pivot Table for Data Exchange'!$J$559)*100</f>
        <v>0.29733495007868732</v>
      </c>
      <c r="H27" s="391">
        <f>('Pivot Table for Data Exchange'!$J$562)*100</f>
        <v>0</v>
      </c>
      <c r="I27" s="355" t="s">
        <v>900</v>
      </c>
      <c r="J27" s="391">
        <f>('Pivot Table for Data Exchange'!$J$565)*100</f>
        <v>58.289307219920616</v>
      </c>
      <c r="K27" s="391">
        <f>('Pivot Table for Data Exchange'!$J$568)*100</f>
        <v>12.220707929044204</v>
      </c>
      <c r="L27" s="392">
        <f>SUM(M27:O27)</f>
        <v>29.489984851035182</v>
      </c>
      <c r="M27" s="391">
        <f>('Pivot Table for Data Exchange'!$J$571)*100</f>
        <v>28.864479206824097</v>
      </c>
      <c r="N27" s="391">
        <f>('Pivot Table for Data Exchange'!$J$574)*100</f>
        <v>0.38225344924010835</v>
      </c>
      <c r="O27" s="393">
        <f>('Pivot Table for Data Exchange'!$J$577)*100</f>
        <v>0.24325219497097805</v>
      </c>
      <c r="P27" s="391">
        <f>('Pivot Table for Data Exchange'!$J$580)*100</f>
        <v>0</v>
      </c>
      <c r="Q27" s="383">
        <f t="shared" ref="Q27:Q90" si="4">SUM(B27,C27,D27,H27)</f>
        <v>100</v>
      </c>
      <c r="R27" s="383">
        <f t="shared" ref="R27:R90" si="5">SUM(J27,K27,L27,P27)</f>
        <v>100</v>
      </c>
      <c r="S27" s="432"/>
      <c r="T27" s="433"/>
      <c r="U27" s="433"/>
      <c r="V27" s="433"/>
      <c r="W27" s="433"/>
      <c r="X27" s="433"/>
      <c r="Y27" s="433"/>
      <c r="Z27" s="433"/>
      <c r="AA27" s="433"/>
      <c r="AB27" s="433"/>
      <c r="AC27" s="433"/>
      <c r="AD27" s="433"/>
      <c r="AE27" s="433"/>
      <c r="AF27" s="432"/>
      <c r="AG27" s="432"/>
      <c r="AH27" s="432"/>
      <c r="AI27" s="432"/>
      <c r="AJ27" s="432"/>
      <c r="AK27" s="432"/>
      <c r="AL27" s="432"/>
      <c r="AM27" s="432"/>
      <c r="AN27" s="432"/>
      <c r="AO27" s="432"/>
    </row>
    <row r="28" spans="1:41" s="422" customFormat="1" ht="33" customHeight="1">
      <c r="A28" s="514" t="s">
        <v>965</v>
      </c>
      <c r="B28" s="515"/>
      <c r="C28" s="515"/>
      <c r="D28" s="515"/>
      <c r="E28" s="515"/>
      <c r="F28" s="515"/>
      <c r="G28" s="515"/>
      <c r="H28" s="515"/>
      <c r="I28" s="514" t="s">
        <v>965</v>
      </c>
      <c r="J28" s="515"/>
      <c r="K28" s="515"/>
      <c r="L28" s="515"/>
      <c r="M28" s="515"/>
      <c r="N28" s="515"/>
      <c r="O28" s="515"/>
      <c r="P28" s="515"/>
      <c r="Q28" s="383">
        <f>SUM(B28,C28,D28,H28)</f>
        <v>0</v>
      </c>
      <c r="R28" s="383">
        <f>SUM(J28,K28,L28,P28)</f>
        <v>0</v>
      </c>
    </row>
    <row r="29" spans="1:41" s="422" customFormat="1" ht="10.5" customHeight="1">
      <c r="A29" s="397" t="s">
        <v>920</v>
      </c>
      <c r="B29" s="398"/>
      <c r="C29" s="398"/>
      <c r="D29" s="399"/>
      <c r="E29" s="398"/>
      <c r="F29" s="399"/>
      <c r="G29" s="399"/>
      <c r="H29" s="398"/>
      <c r="I29" s="397" t="s">
        <v>920</v>
      </c>
      <c r="J29" s="398"/>
      <c r="K29" s="398"/>
      <c r="L29" s="399"/>
      <c r="M29" s="398"/>
      <c r="N29" s="399"/>
      <c r="O29" s="399"/>
      <c r="P29" s="398"/>
      <c r="Q29" s="383">
        <f t="shared" si="4"/>
        <v>0</v>
      </c>
      <c r="R29" s="383">
        <f t="shared" si="5"/>
        <v>0</v>
      </c>
      <c r="S29" s="435"/>
      <c r="T29" s="432"/>
      <c r="U29" s="435"/>
      <c r="V29" s="435"/>
      <c r="W29" s="435"/>
      <c r="X29" s="435"/>
      <c r="Y29" s="435"/>
      <c r="Z29" s="435"/>
      <c r="AA29" s="435"/>
      <c r="AB29" s="435"/>
      <c r="AC29" s="435"/>
      <c r="AD29" s="435"/>
      <c r="AE29" s="435"/>
      <c r="AF29" s="435"/>
      <c r="AG29" s="435"/>
      <c r="AH29" s="435"/>
      <c r="AI29" s="435"/>
      <c r="AJ29" s="435"/>
      <c r="AK29" s="435"/>
      <c r="AL29" s="435"/>
      <c r="AM29" s="435"/>
      <c r="AN29" s="435"/>
      <c r="AO29" s="435"/>
    </row>
    <row r="30" spans="1:41" s="422" customFormat="1" ht="21.75" customHeight="1">
      <c r="A30" s="501" t="s">
        <v>921</v>
      </c>
      <c r="B30" s="502"/>
      <c r="C30" s="502"/>
      <c r="D30" s="502"/>
      <c r="E30" s="502"/>
      <c r="F30" s="502"/>
      <c r="G30" s="502"/>
      <c r="H30" s="502"/>
      <c r="I30" s="501" t="s">
        <v>921</v>
      </c>
      <c r="J30" s="502"/>
      <c r="K30" s="502"/>
      <c r="L30" s="502"/>
      <c r="M30" s="502"/>
      <c r="N30" s="502"/>
      <c r="O30" s="502"/>
      <c r="P30" s="502"/>
      <c r="Q30" s="383">
        <f t="shared" si="4"/>
        <v>0</v>
      </c>
      <c r="R30" s="383">
        <f t="shared" si="5"/>
        <v>0</v>
      </c>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row>
    <row r="31" spans="1:41" s="422" customFormat="1" ht="13.5" customHeight="1">
      <c r="A31" s="395"/>
      <c r="B31" s="225"/>
      <c r="C31" s="225"/>
      <c r="D31" s="225"/>
      <c r="E31" s="225"/>
      <c r="F31" s="225"/>
      <c r="G31" s="225"/>
      <c r="I31" s="395"/>
      <c r="J31" s="225"/>
      <c r="K31" s="225"/>
      <c r="L31" s="225"/>
      <c r="M31" s="225"/>
      <c r="N31" s="225"/>
      <c r="O31" s="225"/>
      <c r="P31" s="225"/>
      <c r="Q31" s="383">
        <f t="shared" si="4"/>
        <v>0</v>
      </c>
      <c r="R31" s="383">
        <f t="shared" si="5"/>
        <v>0</v>
      </c>
    </row>
    <row r="32" spans="1:41">
      <c r="H32" s="402" t="s">
        <v>1007</v>
      </c>
      <c r="I32" s="349"/>
      <c r="P32" s="402" t="s">
        <v>1007</v>
      </c>
      <c r="Q32" s="383">
        <f>SUM(B32,C32,D32,H32)</f>
        <v>0</v>
      </c>
      <c r="R32" s="383">
        <f t="shared" si="5"/>
        <v>0</v>
      </c>
    </row>
    <row r="33" spans="1:41" ht="18">
      <c r="A33" s="344" t="s">
        <v>922</v>
      </c>
      <c r="B33" s="345"/>
      <c r="C33" s="345"/>
      <c r="D33" s="345"/>
      <c r="E33" s="345"/>
      <c r="F33" s="345"/>
      <c r="G33" s="345"/>
      <c r="H33" s="345"/>
      <c r="I33" s="344" t="s">
        <v>923</v>
      </c>
      <c r="J33" s="346"/>
      <c r="K33" s="346"/>
      <c r="L33" s="345"/>
      <c r="M33" s="346"/>
      <c r="N33" s="346"/>
      <c r="O33" s="346"/>
      <c r="P33" s="346"/>
      <c r="Q33" s="383">
        <f t="shared" si="4"/>
        <v>0</v>
      </c>
      <c r="R33" s="383">
        <f t="shared" si="5"/>
        <v>0</v>
      </c>
    </row>
    <row r="34" spans="1:41">
      <c r="A34" s="350"/>
      <c r="B34" s="346"/>
      <c r="C34" s="346"/>
      <c r="D34" s="346"/>
      <c r="E34" s="346"/>
      <c r="F34" s="346"/>
      <c r="G34" s="346"/>
      <c r="H34" s="346"/>
      <c r="I34" s="350"/>
      <c r="J34" s="346"/>
      <c r="K34" s="346"/>
      <c r="L34" s="346"/>
      <c r="M34" s="346"/>
      <c r="N34" s="346"/>
      <c r="O34" s="346"/>
      <c r="P34" s="346"/>
      <c r="Q34" s="383">
        <f t="shared" si="4"/>
        <v>0</v>
      </c>
      <c r="R34" s="383">
        <f t="shared" si="5"/>
        <v>0</v>
      </c>
    </row>
    <row r="35" spans="1:41" ht="15.75">
      <c r="A35" s="352" t="s">
        <v>906</v>
      </c>
      <c r="B35" s="346"/>
      <c r="C35" s="346"/>
      <c r="D35" s="346"/>
      <c r="E35" s="346"/>
      <c r="F35" s="346"/>
      <c r="G35" s="346"/>
      <c r="H35" s="346"/>
      <c r="I35" s="352" t="s">
        <v>907</v>
      </c>
      <c r="J35" s="346"/>
      <c r="K35" s="346"/>
      <c r="L35" s="346"/>
      <c r="M35" s="346"/>
      <c r="N35" s="346"/>
      <c r="O35" s="346"/>
      <c r="P35" s="346"/>
      <c r="Q35" s="383">
        <f t="shared" si="4"/>
        <v>0</v>
      </c>
      <c r="R35" s="383">
        <f t="shared" si="5"/>
        <v>0</v>
      </c>
    </row>
    <row r="36" spans="1:41" ht="15.75">
      <c r="A36" s="352" t="s">
        <v>967</v>
      </c>
      <c r="B36" s="346"/>
      <c r="C36" s="346"/>
      <c r="D36" s="346"/>
      <c r="E36" s="346"/>
      <c r="F36" s="346"/>
      <c r="G36" s="346"/>
      <c r="H36" s="346"/>
      <c r="I36" s="352" t="s">
        <v>967</v>
      </c>
      <c r="J36" s="346"/>
      <c r="K36" s="346"/>
      <c r="L36" s="346"/>
      <c r="M36" s="346"/>
      <c r="N36" s="346"/>
      <c r="O36" s="346"/>
      <c r="P36" s="346"/>
      <c r="Q36" s="383">
        <f t="shared" si="4"/>
        <v>0</v>
      </c>
      <c r="R36" s="383">
        <f t="shared" si="5"/>
        <v>0</v>
      </c>
    </row>
    <row r="37" spans="1:41">
      <c r="A37" s="355"/>
      <c r="B37" s="356"/>
      <c r="C37" s="356"/>
      <c r="D37" s="356"/>
      <c r="E37" s="356"/>
      <c r="F37" s="356"/>
      <c r="G37" s="356"/>
      <c r="H37" s="356"/>
      <c r="I37" s="357"/>
      <c r="L37" s="358"/>
      <c r="P37" s="355"/>
      <c r="Q37" s="383">
        <f t="shared" si="4"/>
        <v>0</v>
      </c>
      <c r="R37" s="383">
        <f t="shared" si="5"/>
        <v>0</v>
      </c>
    </row>
    <row r="38" spans="1:41" s="376" customFormat="1">
      <c r="A38" s="360"/>
      <c r="B38" s="361" t="s">
        <v>908</v>
      </c>
      <c r="C38" s="361"/>
      <c r="D38" s="361"/>
      <c r="E38" s="361"/>
      <c r="F38" s="361"/>
      <c r="G38" s="361"/>
      <c r="H38" s="362"/>
      <c r="I38" s="360"/>
      <c r="J38" s="361" t="s">
        <v>908</v>
      </c>
      <c r="K38" s="361"/>
      <c r="L38" s="361"/>
      <c r="M38" s="361"/>
      <c r="N38" s="361"/>
      <c r="O38" s="361"/>
      <c r="P38" s="362"/>
      <c r="Q38" s="383">
        <f t="shared" si="4"/>
        <v>0</v>
      </c>
      <c r="R38" s="383">
        <f t="shared" si="5"/>
        <v>0</v>
      </c>
    </row>
    <row r="39" spans="1:41" s="376" customFormat="1">
      <c r="A39" s="360"/>
      <c r="B39" s="361" t="s">
        <v>909</v>
      </c>
      <c r="C39" s="361"/>
      <c r="D39" s="506" t="s">
        <v>910</v>
      </c>
      <c r="E39" s="504"/>
      <c r="F39" s="504"/>
      <c r="G39" s="504"/>
      <c r="H39" s="368" t="s">
        <v>800</v>
      </c>
      <c r="I39" s="360"/>
      <c r="J39" s="361" t="s">
        <v>909</v>
      </c>
      <c r="K39" s="361"/>
      <c r="L39" s="506" t="s">
        <v>910</v>
      </c>
      <c r="M39" s="504"/>
      <c r="N39" s="504"/>
      <c r="O39" s="504"/>
      <c r="P39" s="368" t="s">
        <v>800</v>
      </c>
      <c r="Q39" s="383">
        <f t="shared" si="4"/>
        <v>0</v>
      </c>
      <c r="R39" s="383">
        <f t="shared" si="5"/>
        <v>0</v>
      </c>
    </row>
    <row r="40" spans="1:41" s="376" customFormat="1" ht="40.5" customHeight="1">
      <c r="A40" s="360"/>
      <c r="B40" s="369" t="s">
        <v>911</v>
      </c>
      <c r="C40" s="370" t="s">
        <v>912</v>
      </c>
      <c r="D40" s="371" t="s">
        <v>913</v>
      </c>
      <c r="E40" s="372" t="s">
        <v>10</v>
      </c>
      <c r="F40" s="369" t="s">
        <v>914</v>
      </c>
      <c r="G40" s="373" t="s">
        <v>924</v>
      </c>
      <c r="H40" s="374" t="s">
        <v>916</v>
      </c>
      <c r="I40" s="360"/>
      <c r="J40" s="369" t="s">
        <v>911</v>
      </c>
      <c r="K40" s="370" t="s">
        <v>912</v>
      </c>
      <c r="L40" s="371" t="s">
        <v>913</v>
      </c>
      <c r="M40" s="372" t="s">
        <v>10</v>
      </c>
      <c r="N40" s="369" t="s">
        <v>914</v>
      </c>
      <c r="O40" s="373" t="s">
        <v>924</v>
      </c>
      <c r="P40" s="374" t="s">
        <v>916</v>
      </c>
      <c r="Q40" s="383">
        <f t="shared" si="4"/>
        <v>0</v>
      </c>
      <c r="R40" s="383">
        <f t="shared" si="5"/>
        <v>0</v>
      </c>
      <c r="T40" s="375"/>
    </row>
    <row r="41" spans="1:41" ht="15.75" customHeight="1">
      <c r="A41" s="377" t="s">
        <v>885</v>
      </c>
      <c r="B41" s="431">
        <f>('Pivot Table for Data Exchange'!$C$7)*100</f>
        <v>91.702232107385555</v>
      </c>
      <c r="C41" s="390">
        <f>('Pivot Table for Data Exchange'!$C$10)*100</f>
        <v>1.7307932761452954E-2</v>
      </c>
      <c r="D41" s="379">
        <f>SUM(E41:G41)</f>
        <v>8.2804599598529869</v>
      </c>
      <c r="E41" s="378">
        <f>('Pivot Table for Data Exchange'!$C$13)*100</f>
        <v>8.1697754218731617</v>
      </c>
      <c r="F41" s="390">
        <f>('Pivot Table for Data Exchange'!$C$16)*100</f>
        <v>0.11068453797982548</v>
      </c>
      <c r="G41" s="382">
        <f>('Pivot Table for Data Exchange'!$C$19)*100</f>
        <v>0</v>
      </c>
      <c r="H41" s="378">
        <f>('Pivot Table for Data Exchange'!$C$22)*100</f>
        <v>0</v>
      </c>
      <c r="I41" s="381" t="s">
        <v>885</v>
      </c>
      <c r="J41" s="378">
        <f>('Pivot Table for Data Exchange'!$C$25)*100</f>
        <v>75.904534838458545</v>
      </c>
      <c r="K41" s="378">
        <f>('Pivot Table for Data Exchange'!$C$28)*100</f>
        <v>2.1404242896068508</v>
      </c>
      <c r="L41" s="379">
        <f>SUM(M41:O41)</f>
        <v>21.955040871934603</v>
      </c>
      <c r="M41" s="378">
        <f>('Pivot Table for Data Exchange'!$C$31)*100</f>
        <v>21.857240171272867</v>
      </c>
      <c r="N41" s="378">
        <f>('Pivot Table for Data Exchange'!$C$34)*100</f>
        <v>9.7800700661736087E-2</v>
      </c>
      <c r="O41" s="382">
        <f>('Pivot Table for Data Exchange'!$C$37)*100</f>
        <v>0</v>
      </c>
      <c r="P41" s="378">
        <f>('Pivot Table for Data Exchange'!$C$40)*100</f>
        <v>0</v>
      </c>
      <c r="Q41" s="383">
        <f t="shared" si="4"/>
        <v>100</v>
      </c>
      <c r="R41" s="383">
        <f t="shared" si="5"/>
        <v>100</v>
      </c>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row>
    <row r="42" spans="1:41" ht="15.75" customHeight="1">
      <c r="A42" s="349" t="s">
        <v>886</v>
      </c>
      <c r="B42" s="378">
        <f>('Pivot Table for Data Exchange'!$C$43)*100</f>
        <v>89.366472606011669</v>
      </c>
      <c r="C42" s="378">
        <f>('Pivot Table for Data Exchange'!$C$46)*100</f>
        <v>1.4300287546730195</v>
      </c>
      <c r="D42" s="379">
        <f t="shared" ref="D42:D44" si="6">SUM(E42:G42)</f>
        <v>8.6561428056301217</v>
      </c>
      <c r="E42" s="378">
        <f>('Pivot Table for Data Exchange'!$C$49)*100</f>
        <v>8.5992806708807308</v>
      </c>
      <c r="F42" s="378">
        <f>('Pivot Table for Data Exchange'!$C$52)*100</f>
        <v>5.2701490743337576E-2</v>
      </c>
      <c r="G42" s="389">
        <f>('Pivot Table for Data Exchange'!$C$55)*100</f>
        <v>4.1606440060529661E-3</v>
      </c>
      <c r="H42" s="378">
        <f>('Pivot Table for Data Exchange'!$C$58)*100</f>
        <v>0.54735583368519025</v>
      </c>
      <c r="I42" s="384" t="s">
        <v>886</v>
      </c>
      <c r="J42" s="378">
        <f>('Pivot Table for Data Exchange'!$C$61)*100</f>
        <v>68.309004715624098</v>
      </c>
      <c r="K42" s="378">
        <f>('Pivot Table for Data Exchange'!$C$64)*100</f>
        <v>1.2833502195204323</v>
      </c>
      <c r="L42" s="379">
        <f t="shared" ref="L42:L44" si="7">SUM(M42:O42)</f>
        <v>30.407645064855469</v>
      </c>
      <c r="M42" s="378">
        <f>('Pivot Table for Data Exchange'!$C$67)*100</f>
        <v>30.396387606789499</v>
      </c>
      <c r="N42" s="387">
        <f>('Pivot Table for Data Exchange'!$C$70)*100</f>
        <v>1.1257458065968704E-2</v>
      </c>
      <c r="O42" s="385">
        <f>('Pivot Table for Data Exchange'!$C$73)*100</f>
        <v>0</v>
      </c>
      <c r="P42" s="390">
        <f>('Pivot Table for Data Exchange'!$C$76)*100</f>
        <v>0</v>
      </c>
      <c r="Q42" s="383">
        <f t="shared" si="4"/>
        <v>100</v>
      </c>
      <c r="R42" s="383">
        <f t="shared" si="5"/>
        <v>100</v>
      </c>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row>
    <row r="43" spans="1:41" ht="15.75" customHeight="1">
      <c r="A43" s="349" t="s">
        <v>887</v>
      </c>
      <c r="B43" s="378">
        <f>('Pivot Table for Data Exchange'!$C$79)*100</f>
        <v>96.399075104907084</v>
      </c>
      <c r="C43" s="378">
        <f>('Pivot Table for Data Exchange'!$C$82)*100</f>
        <v>0</v>
      </c>
      <c r="D43" s="379">
        <f t="shared" si="6"/>
        <v>3.6009248950929176</v>
      </c>
      <c r="E43" s="378">
        <f>('Pivot Table for Data Exchange'!$C$85)*100</f>
        <v>3.6009248950929176</v>
      </c>
      <c r="F43" s="378">
        <f>('Pivot Table for Data Exchange'!$C$88)*100</f>
        <v>0</v>
      </c>
      <c r="G43" s="386">
        <f>('Pivot Table for Data Exchange'!$C$91)*100</f>
        <v>0</v>
      </c>
      <c r="H43" s="378">
        <f>('Pivot Table for Data Exchange'!$C$94)*100</f>
        <v>0</v>
      </c>
      <c r="I43" s="384" t="s">
        <v>887</v>
      </c>
      <c r="J43" s="378">
        <f>('Pivot Table for Data Exchange'!$C$97)*100</f>
        <v>88.135487977149594</v>
      </c>
      <c r="K43" s="378">
        <f>('Pivot Table for Data Exchange'!$C$100)*100</f>
        <v>0</v>
      </c>
      <c r="L43" s="379">
        <f t="shared" si="7"/>
        <v>11.864512022850402</v>
      </c>
      <c r="M43" s="378">
        <f>('Pivot Table for Data Exchange'!$C$103)*100</f>
        <v>11.864512022850402</v>
      </c>
      <c r="N43" s="378">
        <f>('Pivot Table for Data Exchange'!$C$106)*100</f>
        <v>0</v>
      </c>
      <c r="O43" s="386">
        <f>('Pivot Table for Data Exchange'!$C$109)*100</f>
        <v>0</v>
      </c>
      <c r="P43" s="378">
        <f>('Pivot Table for Data Exchange'!$C$112)*100</f>
        <v>0</v>
      </c>
      <c r="Q43" s="383">
        <f t="shared" si="4"/>
        <v>100</v>
      </c>
      <c r="R43" s="383">
        <f t="shared" si="5"/>
        <v>100</v>
      </c>
      <c r="S43" s="432"/>
      <c r="T43" s="436"/>
      <c r="U43" s="432"/>
      <c r="V43" s="432"/>
      <c r="W43" s="432"/>
      <c r="X43" s="432"/>
      <c r="Y43" s="432"/>
      <c r="Z43" s="432"/>
      <c r="AA43" s="432"/>
      <c r="AB43" s="432"/>
      <c r="AC43" s="432"/>
      <c r="AD43" s="432"/>
      <c r="AE43" s="432"/>
      <c r="AF43" s="432"/>
      <c r="AG43" s="432"/>
      <c r="AH43" s="432"/>
      <c r="AI43" s="432"/>
      <c r="AJ43" s="432"/>
      <c r="AK43" s="432"/>
      <c r="AL43" s="432"/>
      <c r="AM43" s="432"/>
      <c r="AN43" s="432"/>
      <c r="AO43" s="432"/>
    </row>
    <row r="44" spans="1:41" ht="15.75" customHeight="1">
      <c r="A44" s="349" t="s">
        <v>925</v>
      </c>
      <c r="B44" s="378">
        <f>('Pivot Table for Data Exchange'!$C$115)*100</f>
        <v>0</v>
      </c>
      <c r="C44" s="378">
        <f>('Pivot Table for Data Exchange'!$C$118)*100</f>
        <v>0</v>
      </c>
      <c r="D44" s="379">
        <f t="shared" si="6"/>
        <v>0</v>
      </c>
      <c r="E44" s="378">
        <f>('Pivot Table for Data Exchange'!$C$121)*100</f>
        <v>0</v>
      </c>
      <c r="F44" s="378">
        <f>('Pivot Table for Data Exchange'!$C$124)*100</f>
        <v>0</v>
      </c>
      <c r="G44" s="386">
        <f>('Pivot Table for Data Exchange'!$C$127)*100</f>
        <v>0</v>
      </c>
      <c r="H44" s="378">
        <f>('Pivot Table for Data Exchange'!$C$130)*100</f>
        <v>0</v>
      </c>
      <c r="I44" s="384" t="s">
        <v>925</v>
      </c>
      <c r="J44" s="378">
        <f>('Pivot Table for Data Exchange'!$C$133)*100</f>
        <v>0</v>
      </c>
      <c r="K44" s="378">
        <f>('Pivot Table for Data Exchange'!$C$136)*100</f>
        <v>0</v>
      </c>
      <c r="L44" s="379">
        <f t="shared" si="7"/>
        <v>0</v>
      </c>
      <c r="M44" s="378">
        <f>('Pivot Table for Data Exchange'!$C$139)*100</f>
        <v>0</v>
      </c>
      <c r="N44" s="378">
        <f>('Pivot Table for Data Exchange'!$C$142)*100</f>
        <v>0</v>
      </c>
      <c r="O44" s="385">
        <f>('Pivot Table for Data Exchange'!$C$145)*100</f>
        <v>0</v>
      </c>
      <c r="P44" s="378">
        <f>('Pivot Table for Data Exchange'!$C$148)*100</f>
        <v>0</v>
      </c>
      <c r="Q44" s="383">
        <f t="shared" si="4"/>
        <v>0</v>
      </c>
      <c r="R44" s="383">
        <f t="shared" si="5"/>
        <v>0</v>
      </c>
      <c r="S44" s="432"/>
      <c r="U44" s="432"/>
      <c r="V44" s="432"/>
      <c r="W44" s="432"/>
      <c r="X44" s="432"/>
      <c r="Y44" s="432"/>
      <c r="Z44" s="432"/>
      <c r="AA44" s="432"/>
      <c r="AB44" s="432"/>
      <c r="AC44" s="432"/>
      <c r="AD44" s="432"/>
      <c r="AE44" s="432"/>
      <c r="AF44" s="432"/>
      <c r="AG44" s="432"/>
      <c r="AH44" s="432"/>
      <c r="AI44" s="432"/>
      <c r="AJ44" s="432"/>
      <c r="AK44" s="432"/>
      <c r="AL44" s="432"/>
      <c r="AM44" s="432"/>
      <c r="AN44" s="432"/>
      <c r="AO44" s="432"/>
    </row>
    <row r="45" spans="1:41" ht="10.5" customHeight="1">
      <c r="B45" s="378"/>
      <c r="C45" s="378"/>
      <c r="D45" s="379"/>
      <c r="E45" s="378"/>
      <c r="F45" s="378"/>
      <c r="G45" s="386"/>
      <c r="H45" s="378"/>
      <c r="I45" s="384"/>
      <c r="J45" s="378"/>
      <c r="K45" s="378"/>
      <c r="L45" s="379"/>
      <c r="M45" s="378"/>
      <c r="N45" s="378"/>
      <c r="O45" s="386"/>
      <c r="P45" s="378"/>
      <c r="Q45" s="383">
        <f t="shared" si="4"/>
        <v>0</v>
      </c>
      <c r="R45" s="383">
        <f t="shared" si="5"/>
        <v>0</v>
      </c>
      <c r="S45" s="432"/>
      <c r="U45" s="432"/>
      <c r="V45" s="432"/>
      <c r="W45" s="432"/>
      <c r="X45" s="432"/>
      <c r="Y45" s="432"/>
      <c r="Z45" s="432"/>
      <c r="AA45" s="432"/>
      <c r="AB45" s="432"/>
      <c r="AC45" s="432"/>
      <c r="AD45" s="432"/>
      <c r="AE45" s="432"/>
      <c r="AF45" s="432"/>
      <c r="AG45" s="432"/>
      <c r="AH45" s="432"/>
      <c r="AI45" s="432"/>
      <c r="AJ45" s="432"/>
      <c r="AK45" s="432"/>
      <c r="AL45" s="432"/>
      <c r="AM45" s="432"/>
      <c r="AN45" s="432"/>
      <c r="AO45" s="432"/>
    </row>
    <row r="46" spans="1:41" ht="15.75" customHeight="1">
      <c r="A46" s="349" t="s">
        <v>889</v>
      </c>
      <c r="B46" s="378">
        <f>('Pivot Table for Data Exchange'!$C$151)*100</f>
        <v>85.857848517535501</v>
      </c>
      <c r="C46" s="378">
        <f>('Pivot Table for Data Exchange'!$C$154)*100</f>
        <v>1.6631183587386578</v>
      </c>
      <c r="D46" s="379">
        <f t="shared" ref="D46:D47" si="8">SUM(E46:G46)</f>
        <v>12.479033123725838</v>
      </c>
      <c r="E46" s="378">
        <f>('Pivot Table for Data Exchange'!$C$157)*100</f>
        <v>12.479033123725838</v>
      </c>
      <c r="F46" s="378">
        <f>('Pivot Table for Data Exchange'!$C$160)*100</f>
        <v>0</v>
      </c>
      <c r="G46" s="386">
        <f>('Pivot Table for Data Exchange'!$C$163)*100</f>
        <v>0</v>
      </c>
      <c r="H46" s="378">
        <f>('Pivot Table for Data Exchange'!$C$166)*100</f>
        <v>0</v>
      </c>
      <c r="I46" s="384" t="s">
        <v>889</v>
      </c>
      <c r="J46" s="378">
        <f>('Pivot Table for Data Exchange'!$C$169)*100</f>
        <v>69.371474539583176</v>
      </c>
      <c r="K46" s="378">
        <f>('Pivot Table for Data Exchange'!$C$172)*100</f>
        <v>26.856513504712641</v>
      </c>
      <c r="L46" s="379">
        <f t="shared" ref="L46:L47" si="9">SUM(M46:O46)</f>
        <v>5.2701967819010846</v>
      </c>
      <c r="M46" s="378">
        <f>('Pivot Table for Data Exchange'!$C$175)*100</f>
        <v>5.2701967819010846</v>
      </c>
      <c r="N46" s="378">
        <f>('Pivot Table for Data Exchange'!$C$178)*100</f>
        <v>0</v>
      </c>
      <c r="O46" s="386">
        <f>('Pivot Table for Data Exchange'!$C$181)*100</f>
        <v>0</v>
      </c>
      <c r="P46" s="378">
        <f>('Pivot Table for Data Exchange'!$C$184)*100</f>
        <v>0</v>
      </c>
      <c r="Q46" s="383">
        <f t="shared" si="4"/>
        <v>100</v>
      </c>
      <c r="R46" s="383">
        <f t="shared" si="5"/>
        <v>101.4981848261969</v>
      </c>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row>
    <row r="47" spans="1:41" ht="15.75" customHeight="1">
      <c r="A47" s="349" t="s">
        <v>890</v>
      </c>
      <c r="B47" s="378">
        <f>('Pivot Table for Data Exchange'!$C$187)*100</f>
        <v>88.791282984885825</v>
      </c>
      <c r="C47" s="378">
        <f>('Pivot Table for Data Exchange'!$C$190)*100</f>
        <v>1.8373136695357981</v>
      </c>
      <c r="D47" s="379">
        <f t="shared" si="8"/>
        <v>9.3714033455783827</v>
      </c>
      <c r="E47" s="378">
        <f>('Pivot Table for Data Exchange'!$C$193)*100</f>
        <v>9.2383184374069689</v>
      </c>
      <c r="F47" s="378">
        <f>('Pivot Table for Data Exchange'!$C$196)*100</f>
        <v>1.6693577331605858E-2</v>
      </c>
      <c r="G47" s="386">
        <f>('Pivot Table for Data Exchange'!$C$199)*100</f>
        <v>0.1163913308398075</v>
      </c>
      <c r="H47" s="378">
        <f>('Pivot Table for Data Exchange'!$C$202)*100</f>
        <v>0</v>
      </c>
      <c r="I47" s="384" t="s">
        <v>890</v>
      </c>
      <c r="J47" s="378">
        <f>('Pivot Table for Data Exchange'!$C$205)*100</f>
        <v>74.473390398213624</v>
      </c>
      <c r="K47" s="378">
        <f>('Pivot Table for Data Exchange'!$C$208)*100</f>
        <v>4.2010916759707229</v>
      </c>
      <c r="L47" s="379">
        <f t="shared" si="9"/>
        <v>21.325517925815657</v>
      </c>
      <c r="M47" s="378">
        <f>('Pivot Table for Data Exchange'!$C$211)*100</f>
        <v>21.143158417069845</v>
      </c>
      <c r="N47" s="378">
        <f>('Pivot Table for Data Exchange'!$C$214)*100</f>
        <v>0</v>
      </c>
      <c r="O47" s="386">
        <f>('Pivot Table for Data Exchange'!$C$217)*100</f>
        <v>0.18235950874581319</v>
      </c>
      <c r="P47" s="378">
        <f>('Pivot Table for Data Exchange'!$C$220)*100</f>
        <v>0</v>
      </c>
      <c r="Q47" s="383">
        <f t="shared" si="4"/>
        <v>100.00000000000001</v>
      </c>
      <c r="R47" s="383">
        <f t="shared" si="5"/>
        <v>100</v>
      </c>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row>
    <row r="48" spans="1:41" ht="15.75" customHeight="1">
      <c r="A48" s="349" t="s">
        <v>891</v>
      </c>
      <c r="B48" s="378">
        <f>('Pivot Table for Data Exchange'!$C$223)*100</f>
        <v>96.910112359550567</v>
      </c>
      <c r="C48" s="378">
        <f>('Pivot Table for Data Exchange'!$C$226)*100</f>
        <v>0</v>
      </c>
      <c r="D48" s="379">
        <f>SUM(E48:G48)</f>
        <v>3.089887640449438</v>
      </c>
      <c r="E48" s="378">
        <f>('Pivot Table for Data Exchange'!$C$229)*100</f>
        <v>3.089887640449438</v>
      </c>
      <c r="F48" s="378">
        <f>('Pivot Table for Data Exchange'!$C$232)*100</f>
        <v>0</v>
      </c>
      <c r="G48" s="386">
        <f>('Pivot Table for Data Exchange'!$C$235)*100</f>
        <v>0</v>
      </c>
      <c r="H48" s="378">
        <f>('Pivot Table for Data Exchange'!$C$238)*100</f>
        <v>0</v>
      </c>
      <c r="I48" s="384" t="s">
        <v>891</v>
      </c>
      <c r="J48" s="378">
        <f>('Pivot Table for Data Exchange'!$C$241)*100</f>
        <v>95.658944909480226</v>
      </c>
      <c r="K48" s="378">
        <f>('Pivot Table for Data Exchange'!$C$244)*100</f>
        <v>0</v>
      </c>
      <c r="L48" s="379">
        <f>SUM(M48:O48)</f>
        <v>4.3410550905197773</v>
      </c>
      <c r="M48" s="378">
        <f>('Pivot Table for Data Exchange'!$C$247)*100</f>
        <v>4.3410550905197773</v>
      </c>
      <c r="N48" s="378">
        <f>('Pivot Table for Data Exchange'!$C$250)*100</f>
        <v>0</v>
      </c>
      <c r="O48" s="386">
        <f>('Pivot Table for Data Exchange'!$C$253)*100</f>
        <v>0</v>
      </c>
      <c r="P48" s="378">
        <f>('Pivot Table for Data Exchange'!$C$256)*100</f>
        <v>0</v>
      </c>
      <c r="Q48" s="383">
        <f t="shared" si="4"/>
        <v>100</v>
      </c>
      <c r="R48" s="383">
        <f t="shared" si="5"/>
        <v>100</v>
      </c>
      <c r="S48" s="432"/>
      <c r="T48" s="436"/>
      <c r="U48" s="432"/>
      <c r="V48" s="432"/>
      <c r="W48" s="432"/>
      <c r="X48" s="432"/>
      <c r="Y48" s="432"/>
      <c r="Z48" s="432"/>
      <c r="AA48" s="432"/>
      <c r="AB48" s="432"/>
      <c r="AC48" s="432"/>
      <c r="AD48" s="432"/>
      <c r="AE48" s="432"/>
      <c r="AF48" s="432"/>
      <c r="AG48" s="432"/>
      <c r="AH48" s="432"/>
      <c r="AI48" s="432"/>
      <c r="AJ48" s="432"/>
      <c r="AK48" s="432"/>
      <c r="AL48" s="432"/>
      <c r="AM48" s="432"/>
      <c r="AN48" s="432"/>
      <c r="AO48" s="432"/>
    </row>
    <row r="49" spans="1:41" ht="15.75" customHeight="1">
      <c r="A49" s="349" t="s">
        <v>892</v>
      </c>
      <c r="B49" s="378">
        <f>('Pivot Table for Data Exchange'!$C$259)*100</f>
        <v>93.844161172161165</v>
      </c>
      <c r="C49" s="378">
        <f>('Pivot Table for Data Exchange'!$C$262)*100</f>
        <v>1.9421538461538463</v>
      </c>
      <c r="D49" s="379">
        <f>SUM(E49:G49)</f>
        <v>4.2136849816849811</v>
      </c>
      <c r="E49" s="378">
        <f>('Pivot Table for Data Exchange'!$C$265)*100</f>
        <v>4.1215531135531132</v>
      </c>
      <c r="F49" s="378">
        <f>('Pivot Table for Data Exchange'!$C$268)*100</f>
        <v>9.2131868131868133E-2</v>
      </c>
      <c r="G49" s="386">
        <f>('Pivot Table for Data Exchange'!$C$271)*100</f>
        <v>0</v>
      </c>
      <c r="H49" s="378">
        <f>('Pivot Table for Data Exchange'!$C$274)*100</f>
        <v>0</v>
      </c>
      <c r="I49" s="384" t="s">
        <v>892</v>
      </c>
      <c r="J49" s="378">
        <f>('Pivot Table for Data Exchange'!$C$277)*100</f>
        <v>77.559847651930653</v>
      </c>
      <c r="K49" s="378">
        <f>('Pivot Table for Data Exchange'!$C$280)*100</f>
        <v>12.452469985603171</v>
      </c>
      <c r="L49" s="379">
        <f>SUM(M49:O49)</f>
        <v>9.9876823624661739</v>
      </c>
      <c r="M49" s="378">
        <f>('Pivot Table for Data Exchange'!$C$283)*100</f>
        <v>9.5693237270461928</v>
      </c>
      <c r="N49" s="378">
        <f>('Pivot Table for Data Exchange'!$C$286)*100</f>
        <v>0.41835863541998103</v>
      </c>
      <c r="O49" s="386">
        <f>('Pivot Table for Data Exchange'!$C$289)*100</f>
        <v>0</v>
      </c>
      <c r="P49" s="378">
        <f>('Pivot Table for Data Exchange'!$C$292)*100</f>
        <v>0</v>
      </c>
      <c r="Q49" s="383">
        <f t="shared" si="4"/>
        <v>99.999999999999986</v>
      </c>
      <c r="R49" s="383">
        <f t="shared" si="5"/>
        <v>100</v>
      </c>
      <c r="S49" s="432"/>
      <c r="U49" s="432"/>
      <c r="V49" s="432"/>
      <c r="W49" s="432"/>
      <c r="X49" s="432"/>
      <c r="Y49" s="432"/>
      <c r="Z49" s="432"/>
      <c r="AA49" s="432"/>
      <c r="AB49" s="432"/>
      <c r="AC49" s="432"/>
      <c r="AD49" s="432"/>
      <c r="AE49" s="432"/>
      <c r="AF49" s="432"/>
      <c r="AG49" s="432"/>
      <c r="AH49" s="432"/>
      <c r="AI49" s="432"/>
      <c r="AJ49" s="432"/>
      <c r="AK49" s="432"/>
      <c r="AL49" s="432"/>
      <c r="AM49" s="432"/>
      <c r="AN49" s="432"/>
      <c r="AO49" s="432"/>
    </row>
    <row r="50" spans="1:41" ht="12" customHeight="1">
      <c r="B50" s="378"/>
      <c r="C50" s="378"/>
      <c r="D50" s="379"/>
      <c r="E50" s="378"/>
      <c r="F50" s="378"/>
      <c r="G50" s="386"/>
      <c r="H50" s="378"/>
      <c r="I50" s="384"/>
      <c r="J50" s="378"/>
      <c r="K50" s="378"/>
      <c r="L50" s="379"/>
      <c r="M50" s="378"/>
      <c r="N50" s="378"/>
      <c r="O50" s="386"/>
      <c r="P50" s="378"/>
      <c r="Q50" s="383">
        <f t="shared" si="4"/>
        <v>0</v>
      </c>
      <c r="R50" s="383">
        <f t="shared" si="5"/>
        <v>0</v>
      </c>
      <c r="S50" s="432"/>
      <c r="U50" s="432"/>
      <c r="V50" s="432"/>
      <c r="W50" s="432"/>
      <c r="X50" s="432"/>
      <c r="Y50" s="432"/>
      <c r="Z50" s="432"/>
      <c r="AA50" s="432"/>
      <c r="AB50" s="432"/>
      <c r="AC50" s="432"/>
      <c r="AD50" s="432"/>
      <c r="AE50" s="432"/>
      <c r="AF50" s="432"/>
      <c r="AG50" s="432"/>
      <c r="AH50" s="432"/>
      <c r="AI50" s="432"/>
      <c r="AJ50" s="432"/>
      <c r="AK50" s="432"/>
      <c r="AL50" s="432"/>
      <c r="AM50" s="432"/>
      <c r="AN50" s="432"/>
      <c r="AO50" s="432"/>
    </row>
    <row r="51" spans="1:41" ht="15.75" customHeight="1">
      <c r="A51" s="349" t="s">
        <v>893</v>
      </c>
      <c r="B51" s="378">
        <f>('Pivot Table for Data Exchange'!$C$295)*100</f>
        <v>80.811535514939266</v>
      </c>
      <c r="C51" s="378">
        <f>('Pivot Table for Data Exchange'!$C$298)*100</f>
        <v>4.8135626287764515</v>
      </c>
      <c r="D51" s="379">
        <f>SUM(E51:G51)</f>
        <v>14.374663932124996</v>
      </c>
      <c r="E51" s="378">
        <f>('Pivot Table for Data Exchange'!$C$301)*100</f>
        <v>13.683851135612013</v>
      </c>
      <c r="F51" s="378">
        <f>('Pivot Table for Data Exchange'!$C$304)*100</f>
        <v>0.69081279651298355</v>
      </c>
      <c r="G51" s="389">
        <f>('Pivot Table for Data Exchange'!$C$307)*100</f>
        <v>0</v>
      </c>
      <c r="H51" s="378">
        <f>('Pivot Table for Data Exchange'!$C$310)*100</f>
        <v>2.3792415929498311E-4</v>
      </c>
      <c r="I51" s="384" t="s">
        <v>893</v>
      </c>
      <c r="J51" s="378">
        <f>('Pivot Table for Data Exchange'!$C$313)*100</f>
        <v>64.543145786259828</v>
      </c>
      <c r="K51" s="378">
        <f>('Pivot Table for Data Exchange'!$C$316)*100</f>
        <v>5.5862635618382477</v>
      </c>
      <c r="L51" s="379">
        <f>SUM(M51:O51)</f>
        <v>29.786558607682394</v>
      </c>
      <c r="M51" s="378">
        <f>('Pivot Table for Data Exchange'!$C$319)*100</f>
        <v>28.61571212489029</v>
      </c>
      <c r="N51" s="378">
        <f>('Pivot Table for Data Exchange'!$C$322)*100</f>
        <v>1.1708464827921048</v>
      </c>
      <c r="O51" s="386">
        <f>('Pivot Table for Data Exchange'!$C$325)*100</f>
        <v>0</v>
      </c>
      <c r="P51" s="390">
        <f>('Pivot Table for Data Exchange'!$C$328)*100</f>
        <v>8.4032044219529048E-2</v>
      </c>
      <c r="Q51" s="383">
        <f t="shared" si="4"/>
        <v>100.00000000000001</v>
      </c>
      <c r="R51" s="383">
        <f t="shared" si="5"/>
        <v>100</v>
      </c>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row>
    <row r="52" spans="1:41" ht="15.75" customHeight="1">
      <c r="A52" s="349" t="s">
        <v>894</v>
      </c>
      <c r="B52" s="378">
        <f>('Pivot Table for Data Exchange'!$C$331)*100</f>
        <v>86.418762246125297</v>
      </c>
      <c r="C52" s="378">
        <f>('Pivot Table for Data Exchange'!$C$334)*100</f>
        <v>0.1261689434393439</v>
      </c>
      <c r="D52" s="379">
        <f>SUM(E52:G52)</f>
        <v>13.455068810435353</v>
      </c>
      <c r="E52" s="378">
        <f>('Pivot Table for Data Exchange'!$C$337)*100</f>
        <v>13.304869734327324</v>
      </c>
      <c r="F52" s="390">
        <f>('Pivot Table for Data Exchange'!$C$340)*100</f>
        <v>1.0489002452879016E-2</v>
      </c>
      <c r="G52" s="385">
        <f>('Pivot Table for Data Exchange'!$C$343)*100</f>
        <v>0.13971007365515081</v>
      </c>
      <c r="H52" s="378">
        <f>('Pivot Table for Data Exchange'!$C$346)*100</f>
        <v>0</v>
      </c>
      <c r="I52" s="384" t="s">
        <v>894</v>
      </c>
      <c r="J52" s="378">
        <f>('Pivot Table for Data Exchange'!$C$349)*100</f>
        <v>79.251229486980378</v>
      </c>
      <c r="K52" s="378">
        <f>('Pivot Table for Data Exchange'!$C$352)*100</f>
        <v>1.7572086762954913</v>
      </c>
      <c r="L52" s="379">
        <f>SUM(M52:O52)</f>
        <v>18.991561836724131</v>
      </c>
      <c r="M52" s="378">
        <f>('Pivot Table for Data Exchange'!$C$355)*100</f>
        <v>18.379044365067042</v>
      </c>
      <c r="N52" s="390">
        <f>('Pivot Table for Data Exchange'!$C$358)*100</f>
        <v>2.443443598902521E-2</v>
      </c>
      <c r="O52" s="386">
        <f>('Pivot Table for Data Exchange'!$C$361)*100</f>
        <v>0.58808303566806441</v>
      </c>
      <c r="P52" s="378">
        <f>('Pivot Table for Data Exchange'!$C$364)*100</f>
        <v>0</v>
      </c>
      <c r="Q52" s="383">
        <f t="shared" si="4"/>
        <v>99.999999999999986</v>
      </c>
      <c r="R52" s="383">
        <f t="shared" si="5"/>
        <v>100</v>
      </c>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row>
    <row r="53" spans="1:41" ht="15.75" customHeight="1">
      <c r="A53" s="349" t="s">
        <v>895</v>
      </c>
      <c r="B53" s="378">
        <f>('Pivot Table for Data Exchange'!$C$367)*100</f>
        <v>85.884534741647911</v>
      </c>
      <c r="C53" s="378">
        <f>('Pivot Table for Data Exchange'!$C$370)*100</f>
        <v>0.61418225516930447</v>
      </c>
      <c r="D53" s="379">
        <f>SUM(E53:G53)</f>
        <v>13.501283003182788</v>
      </c>
      <c r="E53" s="378">
        <f>('Pivot Table for Data Exchange'!$C$373)*100</f>
        <v>13.33024384602621</v>
      </c>
      <c r="F53" s="378">
        <f>('Pivot Table for Data Exchange'!$C$376)*100</f>
        <v>8.2963628410098432E-3</v>
      </c>
      <c r="G53" s="386">
        <f>('Pivot Table for Data Exchange'!$C$379)*100</f>
        <v>0.16274279431556682</v>
      </c>
      <c r="H53" s="378">
        <f>('Pivot Table for Data Exchange'!$C$382)*100</f>
        <v>0</v>
      </c>
      <c r="I53" s="384" t="s">
        <v>895</v>
      </c>
      <c r="J53" s="378">
        <f>('Pivot Table for Data Exchange'!$C$385)*100</f>
        <v>70.863000130814228</v>
      </c>
      <c r="K53" s="378">
        <f>('Pivot Table for Data Exchange'!$C$388)*100</f>
        <v>8.0894582422305703</v>
      </c>
      <c r="L53" s="379">
        <f>SUM(M53:O53)</f>
        <v>21.047541626955205</v>
      </c>
      <c r="M53" s="378">
        <f>('Pivot Table for Data Exchange'!$C$391)*100</f>
        <v>19.110556707966587</v>
      </c>
      <c r="N53" s="378">
        <f>('Pivot Table for Data Exchange'!$C$394)*100</f>
        <v>0.18080394685204912</v>
      </c>
      <c r="O53" s="386">
        <f>('Pivot Table for Data Exchange'!$C$397)*100</f>
        <v>1.75618097213657</v>
      </c>
      <c r="P53" s="378">
        <f>('Pivot Table for Data Exchange'!$C$400)*100</f>
        <v>0</v>
      </c>
      <c r="Q53" s="383">
        <f t="shared" si="4"/>
        <v>100.00000000000001</v>
      </c>
      <c r="R53" s="383">
        <f t="shared" si="5"/>
        <v>100.00000000000001</v>
      </c>
      <c r="S53" s="432"/>
      <c r="T53" s="436"/>
      <c r="U53" s="432"/>
      <c r="V53" s="432"/>
      <c r="W53" s="432"/>
      <c r="X53" s="432"/>
      <c r="Y53" s="432"/>
      <c r="Z53" s="432"/>
      <c r="AA53" s="432"/>
      <c r="AB53" s="432"/>
      <c r="AC53" s="432"/>
      <c r="AD53" s="432"/>
      <c r="AE53" s="432"/>
      <c r="AF53" s="432"/>
      <c r="AG53" s="432"/>
      <c r="AH53" s="432"/>
      <c r="AI53" s="432"/>
      <c r="AJ53" s="432"/>
      <c r="AK53" s="432"/>
      <c r="AL53" s="432"/>
      <c r="AM53" s="432"/>
      <c r="AN53" s="432"/>
      <c r="AO53" s="432"/>
    </row>
    <row r="54" spans="1:41" ht="15.75" customHeight="1">
      <c r="A54" s="349" t="s">
        <v>896</v>
      </c>
      <c r="B54" s="378">
        <f>('Pivot Table for Data Exchange'!$C$403)*100</f>
        <v>90.479594745729258</v>
      </c>
      <c r="C54" s="378">
        <f>('Pivot Table for Data Exchange'!$C$406)*100</f>
        <v>0.76460311542875525</v>
      </c>
      <c r="D54" s="379">
        <f>SUM(E54:G54)</f>
        <v>8.7558021388419842</v>
      </c>
      <c r="E54" s="378">
        <f>('Pivot Table for Data Exchange'!$C$409)*100</f>
        <v>8.7549249650957943</v>
      </c>
      <c r="F54" s="378">
        <f>('Pivot Table for Data Exchange'!$C$412)*100</f>
        <v>8.771737461897765E-4</v>
      </c>
      <c r="G54" s="386">
        <f>('Pivot Table for Data Exchange'!$C$415)*100</f>
        <v>0</v>
      </c>
      <c r="H54" s="378">
        <f>('Pivot Table for Data Exchange'!$C$418)*100</f>
        <v>0</v>
      </c>
      <c r="I54" s="384" t="s">
        <v>896</v>
      </c>
      <c r="J54" s="378">
        <f>('Pivot Table for Data Exchange'!$C$421)*100</f>
        <v>68.119454124813302</v>
      </c>
      <c r="K54" s="378">
        <f>('Pivot Table for Data Exchange'!$C$424)*100</f>
        <v>10.395495944006793</v>
      </c>
      <c r="L54" s="379">
        <f>SUM(M54:O54)</f>
        <v>21.485049931179898</v>
      </c>
      <c r="M54" s="378">
        <f>('Pivot Table for Data Exchange'!$C$427)*100</f>
        <v>19.38091193955545</v>
      </c>
      <c r="N54" s="378">
        <f>('Pivot Table for Data Exchange'!$C$430)*100</f>
        <v>2.1041379916244471</v>
      </c>
      <c r="O54" s="386">
        <f>('Pivot Table for Data Exchange'!$C$433)*100</f>
        <v>0</v>
      </c>
      <c r="P54" s="378">
        <f>('Pivot Table for Data Exchange'!$C$436)*100</f>
        <v>0</v>
      </c>
      <c r="Q54" s="383">
        <f t="shared" si="4"/>
        <v>100</v>
      </c>
      <c r="R54" s="383">
        <f t="shared" si="5"/>
        <v>100</v>
      </c>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row>
    <row r="55" spans="1:41" ht="14.25" customHeight="1">
      <c r="B55" s="378"/>
      <c r="C55" s="378"/>
      <c r="D55" s="379"/>
      <c r="E55" s="378"/>
      <c r="F55" s="378"/>
      <c r="G55" s="386"/>
      <c r="H55" s="378"/>
      <c r="I55" s="384"/>
      <c r="J55" s="378"/>
      <c r="K55" s="378"/>
      <c r="L55" s="379"/>
      <c r="M55" s="378"/>
      <c r="N55" s="378"/>
      <c r="O55" s="386"/>
      <c r="P55" s="378"/>
      <c r="Q55" s="383">
        <f t="shared" si="4"/>
        <v>0</v>
      </c>
      <c r="R55" s="383">
        <f t="shared" si="5"/>
        <v>0</v>
      </c>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row>
    <row r="56" spans="1:41" ht="15.75" customHeight="1">
      <c r="A56" s="349" t="s">
        <v>897</v>
      </c>
      <c r="B56" s="378">
        <f>('Pivot Table for Data Exchange'!$C$439)*100</f>
        <v>83.92554237957664</v>
      </c>
      <c r="C56" s="378">
        <f>('Pivot Table for Data Exchange'!$C$442)*100</f>
        <v>1.8083837437164523</v>
      </c>
      <c r="D56" s="379">
        <f>SUM(E56:G56)</f>
        <v>13.731052537817469</v>
      </c>
      <c r="E56" s="378">
        <f>('Pivot Table for Data Exchange'!$C$445)*100</f>
        <v>10.397383565569644</v>
      </c>
      <c r="F56" s="405">
        <f>('Pivot Table for Data Exchange'!$C$448)*100</f>
        <v>3.4080259009968472E-2</v>
      </c>
      <c r="G56" s="386">
        <f>('Pivot Table for Data Exchange'!$C$451)*100</f>
        <v>3.2995887132378567</v>
      </c>
      <c r="H56" s="378">
        <f>('Pivot Table for Data Exchange'!$C$454)*100</f>
        <v>0.53502133888944825</v>
      </c>
      <c r="I56" s="384" t="s">
        <v>897</v>
      </c>
      <c r="J56" s="378">
        <f>('Pivot Table for Data Exchange'!$C$457)*100</f>
        <v>69.113939248409167</v>
      </c>
      <c r="K56" s="378">
        <f>('Pivot Table for Data Exchange'!$C$460)*100</f>
        <v>2.0323901762249701</v>
      </c>
      <c r="L56" s="379">
        <f>SUM(M56:O56)</f>
        <v>25.586638385293682</v>
      </c>
      <c r="M56" s="378">
        <f>('Pivot Table for Data Exchange'!$C$463)*100</f>
        <v>22.511039073651631</v>
      </c>
      <c r="N56" s="378">
        <f>('Pivot Table for Data Exchange'!$C$466)*100</f>
        <v>0.11405931084163765</v>
      </c>
      <c r="O56" s="386">
        <f>('Pivot Table for Data Exchange'!$C$469)*100</f>
        <v>2.9615400008004165</v>
      </c>
      <c r="P56" s="378">
        <f>('Pivot Table for Data Exchange'!$C$472)*100</f>
        <v>3.2670321900721708</v>
      </c>
      <c r="Q56" s="383">
        <f t="shared" si="4"/>
        <v>100.00000000000001</v>
      </c>
      <c r="R56" s="383">
        <f t="shared" si="5"/>
        <v>99.999999999999986</v>
      </c>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row>
    <row r="57" spans="1:41" ht="15.75" customHeight="1">
      <c r="A57" s="349" t="s">
        <v>898</v>
      </c>
      <c r="B57" s="378">
        <f>('Pivot Table for Data Exchange'!$C$475)*100</f>
        <v>82.88130534392397</v>
      </c>
      <c r="C57" s="378">
        <f>('Pivot Table for Data Exchange'!$C$478)*100</f>
        <v>0.91333257648076216</v>
      </c>
      <c r="D57" s="379">
        <f>SUM(E57:G57)</f>
        <v>16.205362079595272</v>
      </c>
      <c r="E57" s="378">
        <f>('Pivot Table for Data Exchange'!$C$481)*100</f>
        <v>15.503064737546646</v>
      </c>
      <c r="F57" s="378">
        <f>('Pivot Table for Data Exchange'!$C$484)*100</f>
        <v>0.5252026752529676</v>
      </c>
      <c r="G57" s="386">
        <f>('Pivot Table for Data Exchange'!$C$487)*100</f>
        <v>0.17709466679565555</v>
      </c>
      <c r="H57" s="378">
        <f>('Pivot Table for Data Exchange'!$C$490)*100</f>
        <v>0</v>
      </c>
      <c r="I57" s="384" t="s">
        <v>898</v>
      </c>
      <c r="J57" s="378">
        <f>('Pivot Table for Data Exchange'!$C$493)*100</f>
        <v>77.972733493586929</v>
      </c>
      <c r="K57" s="378">
        <f>('Pivot Table for Data Exchange'!$C$496)*100</f>
        <v>1.5341319567086424</v>
      </c>
      <c r="L57" s="379">
        <f>SUM(M57:O57)</f>
        <v>20.493134549704425</v>
      </c>
      <c r="M57" s="378">
        <f>('Pivot Table for Data Exchange'!$C$499)*100</f>
        <v>19.933721837693263</v>
      </c>
      <c r="N57" s="378">
        <f>('Pivot Table for Data Exchange'!$C$502)*100</f>
        <v>0.14669993797865336</v>
      </c>
      <c r="O57" s="386">
        <f>('Pivot Table for Data Exchange'!$C$505)*100</f>
        <v>0.412712774032509</v>
      </c>
      <c r="P57" s="378">
        <f>('Pivot Table for Data Exchange'!$C$508)*100</f>
        <v>0</v>
      </c>
      <c r="Q57" s="383">
        <f t="shared" si="4"/>
        <v>100</v>
      </c>
      <c r="R57" s="383">
        <f t="shared" si="5"/>
        <v>100</v>
      </c>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row>
    <row r="58" spans="1:41" ht="15.75" customHeight="1">
      <c r="A58" s="349" t="s">
        <v>899</v>
      </c>
      <c r="B58" s="378">
        <f>('Pivot Table for Data Exchange'!$C$511)*100</f>
        <v>89.178831935933943</v>
      </c>
      <c r="C58" s="378">
        <f>('Pivot Table for Data Exchange'!$C$514)*100</f>
        <v>1.3141432591715594</v>
      </c>
      <c r="D58" s="379">
        <f>SUM(E58:G58)</f>
        <v>9.5070248048944972</v>
      </c>
      <c r="E58" s="378">
        <f>('Pivot Table for Data Exchange'!$C$517)*100</f>
        <v>8.6040075265598173</v>
      </c>
      <c r="F58" s="378">
        <f>('Pivot Table for Data Exchange'!$C$520)*100</f>
        <v>0.89559202912082059</v>
      </c>
      <c r="G58" s="386">
        <f>('Pivot Table for Data Exchange'!$C$523)*100</f>
        <v>7.4252492138596046E-3</v>
      </c>
      <c r="H58" s="378">
        <f>('Pivot Table for Data Exchange'!$C$526)*100</f>
        <v>0</v>
      </c>
      <c r="I58" s="384" t="s">
        <v>899</v>
      </c>
      <c r="J58" s="378">
        <f>('Pivot Table for Data Exchange'!$C$529)*100</f>
        <v>78.58793758743262</v>
      </c>
      <c r="K58" s="378">
        <f>('Pivot Table for Data Exchange'!$C$532)*100</f>
        <v>7.4570033084714691</v>
      </c>
      <c r="L58" s="379">
        <f>SUM(M58:O58)</f>
        <v>13.955059104095913</v>
      </c>
      <c r="M58" s="378">
        <f>('Pivot Table for Data Exchange'!$C$535)*100</f>
        <v>10.28617783140233</v>
      </c>
      <c r="N58" s="378">
        <f>('Pivot Table for Data Exchange'!$C$538)*100</f>
        <v>3.3445407391795725</v>
      </c>
      <c r="O58" s="386">
        <f>('Pivot Table for Data Exchange'!$C$541)*100</f>
        <v>0.32434053351400971</v>
      </c>
      <c r="P58" s="378">
        <f>('Pivot Table for Data Exchange'!$C$544)*100</f>
        <v>0</v>
      </c>
      <c r="Q58" s="383">
        <f t="shared" si="4"/>
        <v>100</v>
      </c>
      <c r="R58" s="383">
        <f t="shared" si="5"/>
        <v>100</v>
      </c>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row>
    <row r="59" spans="1:41" ht="15.75" customHeight="1">
      <c r="A59" s="355" t="s">
        <v>900</v>
      </c>
      <c r="B59" s="391">
        <f>('Pivot Table for Data Exchange'!$C$547)*100</f>
        <v>88.207429339438875</v>
      </c>
      <c r="C59" s="391">
        <f>('Pivot Table for Data Exchange'!$C$550)*100</f>
        <v>0.25393818742998314</v>
      </c>
      <c r="D59" s="392">
        <f>SUM(E59:G59)</f>
        <v>11.538632473131132</v>
      </c>
      <c r="E59" s="391">
        <f>('Pivot Table for Data Exchange'!$C$553)*100</f>
        <v>10.903250623351585</v>
      </c>
      <c r="F59" s="406">
        <f>('Pivot Table for Data Exchange'!$C$556)*100</f>
        <v>0</v>
      </c>
      <c r="G59" s="393">
        <f>('Pivot Table for Data Exchange'!$C$559)*100</f>
        <v>0.63538184977954726</v>
      </c>
      <c r="H59" s="391">
        <f>('Pivot Table for Data Exchange'!$C$562)*100</f>
        <v>0</v>
      </c>
      <c r="I59" s="394" t="s">
        <v>900</v>
      </c>
      <c r="J59" s="391">
        <f>('Pivot Table for Data Exchange'!$C$565)*100</f>
        <v>65.761257256993602</v>
      </c>
      <c r="K59" s="391">
        <f>('Pivot Table for Data Exchange'!$C$568)*100</f>
        <v>4.8760412208211239</v>
      </c>
      <c r="L59" s="392">
        <f>SUM(M59:O59)</f>
        <v>29.362701522185279</v>
      </c>
      <c r="M59" s="391">
        <f>('Pivot Table for Data Exchange'!$C$571)*100</f>
        <v>28.871036776084026</v>
      </c>
      <c r="N59" s="391">
        <f>('Pivot Table for Data Exchange'!$C$574)*100</f>
        <v>0</v>
      </c>
      <c r="O59" s="393">
        <f>('Pivot Table for Data Exchange'!$C$577)*100</f>
        <v>0.49166474610125221</v>
      </c>
      <c r="P59" s="391">
        <f>('Pivot Table for Data Exchange'!$C$580)*100</f>
        <v>0</v>
      </c>
      <c r="Q59" s="383">
        <f t="shared" si="4"/>
        <v>99.999999999999986</v>
      </c>
      <c r="R59" s="383">
        <f t="shared" si="5"/>
        <v>100</v>
      </c>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row>
    <row r="60" spans="1:41" s="422" customFormat="1" ht="12" customHeight="1">
      <c r="A60" s="397" t="s">
        <v>926</v>
      </c>
      <c r="B60" s="398"/>
      <c r="C60" s="398"/>
      <c r="D60" s="399"/>
      <c r="E60" s="398"/>
      <c r="F60" s="399"/>
      <c r="G60" s="399"/>
      <c r="H60" s="398"/>
      <c r="I60" s="397" t="s">
        <v>926</v>
      </c>
      <c r="J60" s="398"/>
      <c r="K60" s="398"/>
      <c r="L60" s="399"/>
      <c r="M60" s="398"/>
      <c r="N60" s="399"/>
      <c r="O60" s="399"/>
      <c r="P60" s="398"/>
      <c r="Q60" s="383">
        <f t="shared" si="4"/>
        <v>0</v>
      </c>
      <c r="R60" s="383">
        <f t="shared" si="5"/>
        <v>0</v>
      </c>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row>
    <row r="61" spans="1:41" s="422" customFormat="1" ht="24" customHeight="1">
      <c r="A61" s="501" t="s">
        <v>927</v>
      </c>
      <c r="B61" s="502"/>
      <c r="C61" s="502"/>
      <c r="D61" s="502"/>
      <c r="E61" s="502"/>
      <c r="F61" s="502"/>
      <c r="G61" s="502"/>
      <c r="H61" s="502"/>
      <c r="I61" s="501" t="s">
        <v>927</v>
      </c>
      <c r="J61" s="502"/>
      <c r="K61" s="502"/>
      <c r="L61" s="502"/>
      <c r="M61" s="502"/>
      <c r="N61" s="502"/>
      <c r="O61" s="502"/>
      <c r="P61" s="502"/>
      <c r="Q61" s="383">
        <f t="shared" si="4"/>
        <v>0</v>
      </c>
      <c r="R61" s="383">
        <f t="shared" si="5"/>
        <v>0</v>
      </c>
    </row>
    <row r="62" spans="1:41" s="422" customFormat="1" ht="13.5" customHeight="1">
      <c r="A62" s="514"/>
      <c r="B62" s="515"/>
      <c r="C62" s="515"/>
      <c r="D62" s="515"/>
      <c r="E62" s="515"/>
      <c r="F62" s="515"/>
      <c r="G62" s="515"/>
      <c r="H62" s="515"/>
      <c r="I62" s="514"/>
      <c r="J62" s="515"/>
      <c r="K62" s="515"/>
      <c r="L62" s="515"/>
      <c r="M62" s="515"/>
      <c r="N62" s="515"/>
      <c r="O62" s="515"/>
      <c r="P62" s="515"/>
      <c r="Q62" s="383">
        <f t="shared" si="4"/>
        <v>0</v>
      </c>
      <c r="R62" s="383">
        <f t="shared" si="5"/>
        <v>0</v>
      </c>
    </row>
    <row r="63" spans="1:41" s="422" customFormat="1" ht="13.5" customHeight="1">
      <c r="A63" s="396"/>
      <c r="B63" s="396"/>
      <c r="C63" s="396"/>
      <c r="D63" s="396"/>
      <c r="E63" s="396"/>
      <c r="F63" s="396"/>
      <c r="G63" s="396"/>
      <c r="H63" s="402" t="s">
        <v>1007</v>
      </c>
      <c r="I63" s="396"/>
      <c r="J63" s="396"/>
      <c r="K63" s="396"/>
      <c r="L63" s="396"/>
      <c r="M63" s="396"/>
      <c r="N63" s="396"/>
      <c r="O63" s="396"/>
      <c r="P63" s="402" t="s">
        <v>1007</v>
      </c>
      <c r="Q63" s="383">
        <f t="shared" si="4"/>
        <v>0</v>
      </c>
      <c r="R63" s="383">
        <f t="shared" si="5"/>
        <v>0</v>
      </c>
    </row>
    <row r="64" spans="1:41" ht="18">
      <c r="A64" s="344" t="s">
        <v>928</v>
      </c>
      <c r="B64" s="345"/>
      <c r="C64" s="345"/>
      <c r="D64" s="345"/>
      <c r="E64" s="345"/>
      <c r="F64" s="345"/>
      <c r="G64" s="345"/>
      <c r="H64" s="345"/>
      <c r="I64" s="344" t="s">
        <v>929</v>
      </c>
      <c r="J64" s="346"/>
      <c r="K64" s="346"/>
      <c r="L64" s="345"/>
      <c r="M64" s="346"/>
      <c r="N64" s="346"/>
      <c r="O64" s="346"/>
      <c r="P64" s="346"/>
      <c r="Q64" s="383">
        <f t="shared" si="4"/>
        <v>0</v>
      </c>
      <c r="R64" s="383">
        <f t="shared" si="5"/>
        <v>0</v>
      </c>
    </row>
    <row r="65" spans="1:41">
      <c r="A65" s="350"/>
      <c r="B65" s="346"/>
      <c r="C65" s="346"/>
      <c r="D65" s="346"/>
      <c r="E65" s="346"/>
      <c r="F65" s="346"/>
      <c r="G65" s="346"/>
      <c r="H65" s="346"/>
      <c r="I65" s="350"/>
      <c r="J65" s="346"/>
      <c r="K65" s="346"/>
      <c r="L65" s="346"/>
      <c r="M65" s="346"/>
      <c r="N65" s="346"/>
      <c r="O65" s="346"/>
      <c r="P65" s="346"/>
      <c r="Q65" s="383">
        <f t="shared" si="4"/>
        <v>0</v>
      </c>
      <c r="R65" s="383">
        <f t="shared" si="5"/>
        <v>0</v>
      </c>
    </row>
    <row r="66" spans="1:41" ht="15.75">
      <c r="A66" s="352" t="s">
        <v>906</v>
      </c>
      <c r="B66" s="346"/>
      <c r="C66" s="346"/>
      <c r="D66" s="346"/>
      <c r="E66" s="346"/>
      <c r="F66" s="346"/>
      <c r="G66" s="346"/>
      <c r="H66" s="346"/>
      <c r="I66" s="352" t="s">
        <v>907</v>
      </c>
      <c r="J66" s="346"/>
      <c r="K66" s="346"/>
      <c r="L66" s="346"/>
      <c r="M66" s="346"/>
      <c r="N66" s="346"/>
      <c r="O66" s="346"/>
      <c r="P66" s="346"/>
      <c r="Q66" s="383">
        <f t="shared" si="4"/>
        <v>0</v>
      </c>
      <c r="R66" s="383">
        <f t="shared" si="5"/>
        <v>0</v>
      </c>
    </row>
    <row r="67" spans="1:41" ht="15.75">
      <c r="A67" s="352" t="s">
        <v>968</v>
      </c>
      <c r="B67" s="346"/>
      <c r="C67" s="346"/>
      <c r="D67" s="346"/>
      <c r="E67" s="346"/>
      <c r="F67" s="346"/>
      <c r="G67" s="346"/>
      <c r="H67" s="346"/>
      <c r="I67" s="352" t="s">
        <v>968</v>
      </c>
      <c r="J67" s="346"/>
      <c r="K67" s="346"/>
      <c r="L67" s="346"/>
      <c r="M67" s="346"/>
      <c r="N67" s="346"/>
      <c r="O67" s="346"/>
      <c r="P67" s="346"/>
      <c r="Q67" s="383">
        <f t="shared" si="4"/>
        <v>0</v>
      </c>
      <c r="R67" s="383">
        <f t="shared" si="5"/>
        <v>0</v>
      </c>
    </row>
    <row r="68" spans="1:41">
      <c r="A68" s="355"/>
      <c r="B68" s="356"/>
      <c r="C68" s="356"/>
      <c r="D68" s="356"/>
      <c r="E68" s="356"/>
      <c r="F68" s="356"/>
      <c r="G68" s="356"/>
      <c r="H68" s="356"/>
      <c r="I68" s="357"/>
      <c r="L68" s="358"/>
      <c r="P68" s="355"/>
      <c r="Q68" s="383">
        <f t="shared" si="4"/>
        <v>0</v>
      </c>
      <c r="R68" s="383">
        <f t="shared" si="5"/>
        <v>0</v>
      </c>
    </row>
    <row r="69" spans="1:41" s="376" customFormat="1">
      <c r="A69" s="360"/>
      <c r="B69" s="361" t="s">
        <v>908</v>
      </c>
      <c r="C69" s="361"/>
      <c r="D69" s="361"/>
      <c r="E69" s="361"/>
      <c r="F69" s="361"/>
      <c r="G69" s="361"/>
      <c r="H69" s="362"/>
      <c r="I69" s="360"/>
      <c r="J69" s="361" t="s">
        <v>908</v>
      </c>
      <c r="K69" s="361"/>
      <c r="L69" s="361"/>
      <c r="M69" s="361"/>
      <c r="N69" s="361"/>
      <c r="O69" s="361"/>
      <c r="P69" s="362"/>
      <c r="Q69" s="383">
        <f t="shared" si="4"/>
        <v>0</v>
      </c>
      <c r="R69" s="383">
        <f t="shared" si="5"/>
        <v>0</v>
      </c>
    </row>
    <row r="70" spans="1:41" s="376" customFormat="1">
      <c r="A70" s="360"/>
      <c r="B70" s="361" t="s">
        <v>909</v>
      </c>
      <c r="C70" s="361"/>
      <c r="D70" s="506" t="s">
        <v>910</v>
      </c>
      <c r="E70" s="504"/>
      <c r="F70" s="504"/>
      <c r="G70" s="504"/>
      <c r="H70" s="368" t="s">
        <v>800</v>
      </c>
      <c r="I70" s="360"/>
      <c r="J70" s="361" t="s">
        <v>909</v>
      </c>
      <c r="K70" s="361"/>
      <c r="L70" s="506" t="s">
        <v>910</v>
      </c>
      <c r="M70" s="504"/>
      <c r="N70" s="504"/>
      <c r="O70" s="504"/>
      <c r="P70" s="368" t="s">
        <v>800</v>
      </c>
      <c r="Q70" s="383">
        <f t="shared" si="4"/>
        <v>0</v>
      </c>
      <c r="R70" s="383">
        <f t="shared" si="5"/>
        <v>0</v>
      </c>
    </row>
    <row r="71" spans="1:41" s="376" customFormat="1" ht="40.5" customHeight="1">
      <c r="A71" s="360"/>
      <c r="B71" s="369" t="s">
        <v>911</v>
      </c>
      <c r="C71" s="370" t="s">
        <v>912</v>
      </c>
      <c r="D71" s="371" t="s">
        <v>913</v>
      </c>
      <c r="E71" s="372" t="s">
        <v>10</v>
      </c>
      <c r="F71" s="369" t="s">
        <v>914</v>
      </c>
      <c r="G71" s="373" t="s">
        <v>924</v>
      </c>
      <c r="H71" s="374" t="s">
        <v>916</v>
      </c>
      <c r="I71" s="360"/>
      <c r="J71" s="369" t="s">
        <v>911</v>
      </c>
      <c r="K71" s="370" t="s">
        <v>912</v>
      </c>
      <c r="L71" s="371" t="s">
        <v>913</v>
      </c>
      <c r="M71" s="372" t="s">
        <v>10</v>
      </c>
      <c r="N71" s="369" t="s">
        <v>914</v>
      </c>
      <c r="O71" s="373" t="s">
        <v>924</v>
      </c>
      <c r="P71" s="374" t="s">
        <v>916</v>
      </c>
      <c r="Q71" s="383">
        <f t="shared" si="4"/>
        <v>0</v>
      </c>
      <c r="R71" s="383">
        <f t="shared" si="5"/>
        <v>0</v>
      </c>
      <c r="T71" s="375"/>
    </row>
    <row r="72" spans="1:41" ht="15.75" customHeight="1">
      <c r="A72" s="404" t="s">
        <v>885</v>
      </c>
      <c r="B72" s="431">
        <f>('Pivot Table for Data Exchange'!$D$7)*100</f>
        <v>79.886983965406827</v>
      </c>
      <c r="C72" s="390">
        <f>('Pivot Table for Data Exchange'!$D$10)*100</f>
        <v>4.7559350105652681E-2</v>
      </c>
      <c r="D72" s="379">
        <f>SUM(E72:G72)</f>
        <v>20.065456684487515</v>
      </c>
      <c r="E72" s="378">
        <f>('Pivot Table for Data Exchange'!$D$13)*100</f>
        <v>20.05294106603866</v>
      </c>
      <c r="F72" s="390">
        <f>('Pivot Table for Data Exchange'!$D$16)*100</f>
        <v>1.2515618448855967E-2</v>
      </c>
      <c r="G72" s="382">
        <f>('Pivot Table for Data Exchange'!$D$19)*100</f>
        <v>0</v>
      </c>
      <c r="H72" s="378">
        <f>('Pivot Table for Data Exchange'!$D$22)*100</f>
        <v>0</v>
      </c>
      <c r="I72" s="381" t="s">
        <v>885</v>
      </c>
      <c r="J72" s="378">
        <f>('Pivot Table for Data Exchange'!$D$25)*100</f>
        <v>63.550577220029901</v>
      </c>
      <c r="K72" s="378">
        <f>('Pivot Table for Data Exchange'!$D$28)*100</f>
        <v>6.6178092600308824E-2</v>
      </c>
      <c r="L72" s="379">
        <f>SUM(M72:O72)</f>
        <v>36.383244687369789</v>
      </c>
      <c r="M72" s="378">
        <f>('Pivot Table for Data Exchange'!$D$31)*100</f>
        <v>36.22515257726905</v>
      </c>
      <c r="N72" s="378">
        <f>('Pivot Table for Data Exchange'!$D$34)*100</f>
        <v>0.15809211010073776</v>
      </c>
      <c r="O72" s="382">
        <f>('Pivot Table for Data Exchange'!$D$37)*100</f>
        <v>0</v>
      </c>
      <c r="P72" s="378">
        <f>('Pivot Table for Data Exchange'!$D$40)*100</f>
        <v>0</v>
      </c>
      <c r="Q72" s="383">
        <f t="shared" si="4"/>
        <v>100</v>
      </c>
      <c r="R72" s="383">
        <f t="shared" si="5"/>
        <v>100</v>
      </c>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row>
    <row r="73" spans="1:41" ht="15.75" customHeight="1">
      <c r="A73" s="349" t="s">
        <v>886</v>
      </c>
      <c r="B73" s="378">
        <f>('Pivot Table for Data Exchange'!$D$43)*100</f>
        <v>54.149362477231335</v>
      </c>
      <c r="C73" s="378">
        <f>('Pivot Table for Data Exchange'!$D$46)*100</f>
        <v>10.822586520947176</v>
      </c>
      <c r="D73" s="379">
        <f t="shared" ref="D73:D75" si="10">SUM(E73:G73)</f>
        <v>35.028051001821495</v>
      </c>
      <c r="E73" s="378">
        <f>('Pivot Table for Data Exchange'!$D$49)*100</f>
        <v>35.028051001821495</v>
      </c>
      <c r="F73" s="378">
        <f>('Pivot Table for Data Exchange'!$D$52)*100</f>
        <v>0</v>
      </c>
      <c r="G73" s="386">
        <f>('Pivot Table for Data Exchange'!$D$55)*100</f>
        <v>0</v>
      </c>
      <c r="H73" s="378">
        <f>('Pivot Table for Data Exchange'!$D$58)*100</f>
        <v>0</v>
      </c>
      <c r="I73" s="384" t="s">
        <v>886</v>
      </c>
      <c r="J73" s="378">
        <f>('Pivot Table for Data Exchange'!$D$61)*100</f>
        <v>70.930865541643982</v>
      </c>
      <c r="K73" s="378">
        <f>('Pivot Table for Data Exchange'!$D$64)*100</f>
        <v>0.48282880878559081</v>
      </c>
      <c r="L73" s="379">
        <f t="shared" ref="L73:L75" si="11">SUM(M73:O73)</f>
        <v>28.586305649570427</v>
      </c>
      <c r="M73" s="378">
        <f>('Pivot Table for Data Exchange'!$D$67)*100</f>
        <v>28.586305649570427</v>
      </c>
      <c r="N73" s="378">
        <f>('Pivot Table for Data Exchange'!$D$70)*100</f>
        <v>0</v>
      </c>
      <c r="O73" s="386">
        <f>('Pivot Table for Data Exchange'!$D$73)*100</f>
        <v>0</v>
      </c>
      <c r="P73" s="378">
        <f>('Pivot Table for Data Exchange'!$D$76)*100</f>
        <v>0</v>
      </c>
      <c r="Q73" s="383">
        <f t="shared" si="4"/>
        <v>100</v>
      </c>
      <c r="R73" s="383">
        <f t="shared" si="5"/>
        <v>100</v>
      </c>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row>
    <row r="74" spans="1:41" ht="15.75" customHeight="1">
      <c r="A74" s="349" t="s">
        <v>887</v>
      </c>
      <c r="B74" s="378">
        <f>('Pivot Table for Data Exchange'!$D$79)*100</f>
        <v>0</v>
      </c>
      <c r="C74" s="378">
        <f>('Pivot Table for Data Exchange'!$D$82)*100</f>
        <v>0</v>
      </c>
      <c r="D74" s="379">
        <f t="shared" si="10"/>
        <v>0</v>
      </c>
      <c r="E74" s="378">
        <f>('Pivot Table for Data Exchange'!$D$85)*100</f>
        <v>0</v>
      </c>
      <c r="F74" s="378">
        <f>('Pivot Table for Data Exchange'!$D$88)*100</f>
        <v>0</v>
      </c>
      <c r="G74" s="386">
        <f>('Pivot Table for Data Exchange'!$D$91)*100</f>
        <v>0</v>
      </c>
      <c r="H74" s="378">
        <f>('Pivot Table for Data Exchange'!$D$94)*100</f>
        <v>0</v>
      </c>
      <c r="I74" s="384" t="s">
        <v>887</v>
      </c>
      <c r="J74" s="378">
        <f>('Pivot Table for Data Exchange'!$D$97)*100</f>
        <v>0</v>
      </c>
      <c r="K74" s="378">
        <f>('Pivot Table for Data Exchange'!$D$100)*100</f>
        <v>0</v>
      </c>
      <c r="L74" s="379">
        <f t="shared" si="11"/>
        <v>0</v>
      </c>
      <c r="M74" s="378">
        <f>('Pivot Table for Data Exchange'!$D$103)*100</f>
        <v>0</v>
      </c>
      <c r="N74" s="378">
        <f>('Pivot Table for Data Exchange'!$D$106)*100</f>
        <v>0</v>
      </c>
      <c r="O74" s="386">
        <f>('Pivot Table for Data Exchange'!$D$109)*100</f>
        <v>0</v>
      </c>
      <c r="P74" s="378">
        <f>('Pivot Table for Data Exchange'!$D$112)*100</f>
        <v>0</v>
      </c>
      <c r="Q74" s="383">
        <f t="shared" si="4"/>
        <v>0</v>
      </c>
      <c r="R74" s="383">
        <f t="shared" si="5"/>
        <v>0</v>
      </c>
      <c r="S74" s="432"/>
      <c r="T74" s="436"/>
      <c r="U74" s="432"/>
      <c r="V74" s="432"/>
      <c r="W74" s="432"/>
      <c r="X74" s="432"/>
      <c r="Y74" s="432"/>
      <c r="Z74" s="432"/>
      <c r="AA74" s="432"/>
      <c r="AB74" s="432"/>
      <c r="AC74" s="432"/>
      <c r="AD74" s="432"/>
      <c r="AE74" s="432"/>
      <c r="AF74" s="432"/>
      <c r="AG74" s="432"/>
      <c r="AH74" s="432"/>
      <c r="AI74" s="432"/>
      <c r="AJ74" s="432"/>
      <c r="AK74" s="432"/>
      <c r="AL74" s="432"/>
      <c r="AM74" s="432"/>
      <c r="AN74" s="432"/>
      <c r="AO74" s="432"/>
    </row>
    <row r="75" spans="1:41" ht="15.75" customHeight="1">
      <c r="A75" s="349" t="s">
        <v>888</v>
      </c>
      <c r="B75" s="378">
        <f>('Pivot Table for Data Exchange'!$D$115)*100</f>
        <v>0</v>
      </c>
      <c r="C75" s="378">
        <f>('Pivot Table for Data Exchange'!$D$118)*100</f>
        <v>0</v>
      </c>
      <c r="D75" s="379">
        <f t="shared" si="10"/>
        <v>0</v>
      </c>
      <c r="E75" s="378">
        <f>('Pivot Table for Data Exchange'!$D$121)*100</f>
        <v>0</v>
      </c>
      <c r="F75" s="390">
        <f>('Pivot Table for Data Exchange'!$D$124)*100</f>
        <v>0</v>
      </c>
      <c r="G75" s="386">
        <f>('Pivot Table for Data Exchange'!$D$127)*100</f>
        <v>0</v>
      </c>
      <c r="H75" s="378">
        <f>('Pivot Table for Data Exchange'!$D$130)*100</f>
        <v>0</v>
      </c>
      <c r="I75" s="384" t="s">
        <v>888</v>
      </c>
      <c r="J75" s="378">
        <f>('Pivot Table for Data Exchange'!$D$133)*100</f>
        <v>0</v>
      </c>
      <c r="K75" s="378">
        <f>('Pivot Table for Data Exchange'!$D$136)*100</f>
        <v>0</v>
      </c>
      <c r="L75" s="379">
        <f t="shared" si="11"/>
        <v>0</v>
      </c>
      <c r="M75" s="378">
        <f>('Pivot Table for Data Exchange'!$D$139)*100</f>
        <v>0</v>
      </c>
      <c r="N75" s="378">
        <f>('Pivot Table for Data Exchange'!$D$142)*100</f>
        <v>0</v>
      </c>
      <c r="O75" s="386">
        <f>('Pivot Table for Data Exchange'!$D$145)*100</f>
        <v>0</v>
      </c>
      <c r="P75" s="378">
        <f>('Pivot Table for Data Exchange'!$D$148)*100</f>
        <v>0</v>
      </c>
      <c r="Q75" s="383">
        <f t="shared" si="4"/>
        <v>0</v>
      </c>
      <c r="R75" s="383">
        <f t="shared" si="5"/>
        <v>0</v>
      </c>
      <c r="S75" s="432"/>
      <c r="U75" s="432"/>
      <c r="V75" s="432"/>
      <c r="W75" s="432"/>
      <c r="X75" s="432"/>
      <c r="Y75" s="432"/>
      <c r="Z75" s="432"/>
      <c r="AA75" s="432"/>
      <c r="AB75" s="432"/>
      <c r="AC75" s="432"/>
      <c r="AD75" s="432"/>
      <c r="AE75" s="432"/>
      <c r="AF75" s="432"/>
      <c r="AG75" s="432"/>
      <c r="AH75" s="432"/>
      <c r="AI75" s="432"/>
      <c r="AJ75" s="432"/>
      <c r="AK75" s="432"/>
      <c r="AL75" s="432"/>
      <c r="AM75" s="432"/>
      <c r="AN75" s="432"/>
      <c r="AO75" s="432"/>
    </row>
    <row r="76" spans="1:41" ht="9" customHeight="1">
      <c r="B76" s="378"/>
      <c r="C76" s="378"/>
      <c r="D76" s="379"/>
      <c r="E76" s="378"/>
      <c r="F76" s="378"/>
      <c r="G76" s="386"/>
      <c r="H76" s="378"/>
      <c r="I76" s="384"/>
      <c r="J76" s="378"/>
      <c r="K76" s="378"/>
      <c r="L76" s="379"/>
      <c r="M76" s="378"/>
      <c r="N76" s="378"/>
      <c r="O76" s="386"/>
      <c r="P76" s="378"/>
      <c r="Q76" s="383">
        <f t="shared" si="4"/>
        <v>0</v>
      </c>
      <c r="R76" s="383">
        <f t="shared" si="5"/>
        <v>0</v>
      </c>
      <c r="S76" s="432"/>
      <c r="U76" s="432"/>
      <c r="V76" s="432"/>
      <c r="W76" s="432"/>
      <c r="X76" s="432"/>
      <c r="Y76" s="432"/>
      <c r="Z76" s="432"/>
      <c r="AA76" s="432"/>
      <c r="AB76" s="432"/>
      <c r="AC76" s="432"/>
      <c r="AD76" s="432"/>
      <c r="AE76" s="432"/>
      <c r="AF76" s="432"/>
      <c r="AG76" s="432"/>
      <c r="AH76" s="432"/>
      <c r="AI76" s="432"/>
      <c r="AJ76" s="432"/>
      <c r="AK76" s="432"/>
      <c r="AL76" s="432"/>
      <c r="AM76" s="432"/>
      <c r="AN76" s="432"/>
      <c r="AO76" s="432"/>
    </row>
    <row r="77" spans="1:41" ht="15.75" customHeight="1">
      <c r="A77" s="349" t="s">
        <v>889</v>
      </c>
      <c r="B77" s="378">
        <f>('Pivot Table for Data Exchange'!$D$151)*100</f>
        <v>95.043420295678061</v>
      </c>
      <c r="C77" s="378">
        <f>('Pivot Table for Data Exchange'!$D$154)*100</f>
        <v>3.4656335893197943</v>
      </c>
      <c r="D77" s="379">
        <f t="shared" ref="D77:D78" si="12">SUM(E77:G77)</f>
        <v>1.4909461150021459</v>
      </c>
      <c r="E77" s="378">
        <f>('Pivot Table for Data Exchange'!$D$157)*100</f>
        <v>1.4909461150021459</v>
      </c>
      <c r="F77" s="378">
        <f>('Pivot Table for Data Exchange'!$D$160)*100</f>
        <v>0</v>
      </c>
      <c r="G77" s="386">
        <f>('Pivot Table for Data Exchange'!$D$163)*100</f>
        <v>0</v>
      </c>
      <c r="H77" s="378">
        <f>('Pivot Table for Data Exchange'!$D$166)*100</f>
        <v>0</v>
      </c>
      <c r="I77" s="384" t="s">
        <v>889</v>
      </c>
      <c r="J77" s="378">
        <f>('Pivot Table for Data Exchange'!$D$169)*100</f>
        <v>87.482119492938438</v>
      </c>
      <c r="K77" s="378">
        <f>('Pivot Table for Data Exchange'!$D$172)*100</f>
        <v>1.6702233246166795</v>
      </c>
      <c r="L77" s="379">
        <f t="shared" ref="L77:L78" si="13">SUM(M77:O77)</f>
        <v>20.433583226693422</v>
      </c>
      <c r="M77" s="378">
        <f>('Pivot Table for Data Exchange'!$D$175)*100</f>
        <v>20.433583226693422</v>
      </c>
      <c r="N77" s="378">
        <f>('Pivot Table for Data Exchange'!$D$178)*100</f>
        <v>0</v>
      </c>
      <c r="O77" s="386">
        <f>('Pivot Table for Data Exchange'!$D$181)*100</f>
        <v>0</v>
      </c>
      <c r="P77" s="378">
        <f>('Pivot Table for Data Exchange'!$D$184)*100</f>
        <v>0</v>
      </c>
      <c r="Q77" s="383">
        <f t="shared" si="4"/>
        <v>100</v>
      </c>
      <c r="R77" s="383">
        <f t="shared" si="5"/>
        <v>109.58592604424854</v>
      </c>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row>
    <row r="78" spans="1:41" ht="15.75" customHeight="1">
      <c r="A78" s="349" t="s">
        <v>890</v>
      </c>
      <c r="B78" s="378">
        <f>('Pivot Table for Data Exchange'!$D$187)*100</f>
        <v>0</v>
      </c>
      <c r="C78" s="378">
        <f>('Pivot Table for Data Exchange'!$D$190)*100</f>
        <v>0</v>
      </c>
      <c r="D78" s="379">
        <f t="shared" si="12"/>
        <v>0</v>
      </c>
      <c r="E78" s="378">
        <f>('Pivot Table for Data Exchange'!$D$193)*100</f>
        <v>0</v>
      </c>
      <c r="F78" s="378">
        <f>('Pivot Table for Data Exchange'!$D$196)*100</f>
        <v>0</v>
      </c>
      <c r="G78" s="386">
        <f>('Pivot Table for Data Exchange'!$D$199)*100</f>
        <v>0</v>
      </c>
      <c r="H78" s="378">
        <f>('Pivot Table for Data Exchange'!$D$202)*100</f>
        <v>0</v>
      </c>
      <c r="I78" s="384" t="s">
        <v>890</v>
      </c>
      <c r="J78" s="378">
        <f>('Pivot Table for Data Exchange'!$D$205)*100</f>
        <v>0</v>
      </c>
      <c r="K78" s="378">
        <f>('Pivot Table for Data Exchange'!$D$208)*100</f>
        <v>0</v>
      </c>
      <c r="L78" s="379">
        <f t="shared" si="13"/>
        <v>0</v>
      </c>
      <c r="M78" s="378">
        <f>('Pivot Table for Data Exchange'!$D$211)*100</f>
        <v>0</v>
      </c>
      <c r="N78" s="378">
        <f>('Pivot Table for Data Exchange'!$D$214)*100</f>
        <v>0</v>
      </c>
      <c r="O78" s="386">
        <f>('Pivot Table for Data Exchange'!$D$217)*100</f>
        <v>0</v>
      </c>
      <c r="P78" s="378">
        <f>('Pivot Table for Data Exchange'!$D$220)*100</f>
        <v>0</v>
      </c>
      <c r="Q78" s="383">
        <f t="shared" si="4"/>
        <v>0</v>
      </c>
      <c r="R78" s="383">
        <f t="shared" si="5"/>
        <v>0</v>
      </c>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row>
    <row r="79" spans="1:41" ht="15.75" customHeight="1">
      <c r="A79" s="349" t="s">
        <v>891</v>
      </c>
      <c r="B79" s="378">
        <f>('Pivot Table for Data Exchange'!$D$223)*100</f>
        <v>87.776820581430627</v>
      </c>
      <c r="C79" s="378">
        <f>('Pivot Table for Data Exchange'!$D$226)*100</f>
        <v>0</v>
      </c>
      <c r="D79" s="379">
        <f>SUM(E79:G79)</f>
        <v>12.223179418569371</v>
      </c>
      <c r="E79" s="378">
        <f>('Pivot Table for Data Exchange'!$D$229)*100</f>
        <v>12.223179418569371</v>
      </c>
      <c r="F79" s="378">
        <f>('Pivot Table for Data Exchange'!$D$232)*100</f>
        <v>0</v>
      </c>
      <c r="G79" s="386">
        <f>('Pivot Table for Data Exchange'!$D$235)*100</f>
        <v>0</v>
      </c>
      <c r="H79" s="378">
        <f>('Pivot Table for Data Exchange'!$D$238)*100</f>
        <v>0</v>
      </c>
      <c r="I79" s="384" t="s">
        <v>891</v>
      </c>
      <c r="J79" s="378">
        <f>('Pivot Table for Data Exchange'!$D$241)*100</f>
        <v>83.188461673593508</v>
      </c>
      <c r="K79" s="378">
        <f>('Pivot Table for Data Exchange'!$D$244)*100</f>
        <v>0</v>
      </c>
      <c r="L79" s="379">
        <f>SUM(M79:O79)</f>
        <v>16.811538326406492</v>
      </c>
      <c r="M79" s="378">
        <f>('Pivot Table for Data Exchange'!$D$247)*100</f>
        <v>16.811538326406492</v>
      </c>
      <c r="N79" s="378">
        <f>('Pivot Table for Data Exchange'!$D$250)*100</f>
        <v>0</v>
      </c>
      <c r="O79" s="386">
        <f>('Pivot Table for Data Exchange'!$D$253)*100</f>
        <v>0</v>
      </c>
      <c r="P79" s="378">
        <f>('Pivot Table for Data Exchange'!$D$256)*100</f>
        <v>0</v>
      </c>
      <c r="Q79" s="383">
        <f t="shared" si="4"/>
        <v>100</v>
      </c>
      <c r="R79" s="383">
        <f t="shared" si="5"/>
        <v>100</v>
      </c>
      <c r="S79" s="432"/>
      <c r="T79" s="436"/>
      <c r="U79" s="432"/>
      <c r="V79" s="432"/>
      <c r="W79" s="432"/>
      <c r="X79" s="432"/>
      <c r="Y79" s="432"/>
      <c r="Z79" s="432"/>
      <c r="AA79" s="432"/>
      <c r="AB79" s="432"/>
      <c r="AC79" s="432"/>
      <c r="AD79" s="432"/>
      <c r="AE79" s="432"/>
      <c r="AF79" s="432"/>
      <c r="AG79" s="432"/>
      <c r="AH79" s="432"/>
      <c r="AI79" s="432"/>
      <c r="AJ79" s="432"/>
      <c r="AK79" s="432"/>
      <c r="AL79" s="432"/>
      <c r="AM79" s="432"/>
      <c r="AN79" s="432"/>
      <c r="AO79" s="432"/>
    </row>
    <row r="80" spans="1:41" ht="15.75" customHeight="1">
      <c r="A80" s="349" t="s">
        <v>892</v>
      </c>
      <c r="B80" s="378">
        <f>('Pivot Table for Data Exchange'!$D$259)*100</f>
        <v>87.185261574734355</v>
      </c>
      <c r="C80" s="378">
        <f>('Pivot Table for Data Exchange'!$D$262)*100</f>
        <v>1.5616491365949308</v>
      </c>
      <c r="D80" s="379">
        <f>SUM(E80:G80)</f>
        <v>11.253089288670713</v>
      </c>
      <c r="E80" s="378">
        <f>('Pivot Table for Data Exchange'!$D$265)*100</f>
        <v>11.253089288670713</v>
      </c>
      <c r="F80" s="378">
        <f>('Pivot Table for Data Exchange'!$D$268)*100</f>
        <v>0</v>
      </c>
      <c r="G80" s="386">
        <f>('Pivot Table for Data Exchange'!$D$271)*100</f>
        <v>0</v>
      </c>
      <c r="H80" s="378">
        <f>('Pivot Table for Data Exchange'!$D$274)*100</f>
        <v>0</v>
      </c>
      <c r="I80" s="384" t="s">
        <v>892</v>
      </c>
      <c r="J80" s="378">
        <f>('Pivot Table for Data Exchange'!$D$277)*100</f>
        <v>71.895560995087067</v>
      </c>
      <c r="K80" s="378">
        <f>('Pivot Table for Data Exchange'!$D$280)*100</f>
        <v>5.9180945436869612</v>
      </c>
      <c r="L80" s="379">
        <f>SUM(M80:O80)</f>
        <v>22.186344461225978</v>
      </c>
      <c r="M80" s="378">
        <f>('Pivot Table for Data Exchange'!$D$283)*100</f>
        <v>22.186344461225978</v>
      </c>
      <c r="N80" s="378">
        <f>('Pivot Table for Data Exchange'!$D$286)*100</f>
        <v>0</v>
      </c>
      <c r="O80" s="386">
        <f>('Pivot Table for Data Exchange'!$D$289)*100</f>
        <v>0</v>
      </c>
      <c r="P80" s="378">
        <f>('Pivot Table for Data Exchange'!$D$292)*100</f>
        <v>0</v>
      </c>
      <c r="Q80" s="383">
        <f t="shared" si="4"/>
        <v>100</v>
      </c>
      <c r="R80" s="383">
        <f t="shared" si="5"/>
        <v>100</v>
      </c>
      <c r="S80" s="432"/>
      <c r="U80" s="432"/>
      <c r="V80" s="432"/>
      <c r="W80" s="432"/>
      <c r="X80" s="432"/>
      <c r="Y80" s="432"/>
      <c r="Z80" s="432"/>
      <c r="AA80" s="432"/>
      <c r="AB80" s="432"/>
      <c r="AC80" s="432"/>
      <c r="AD80" s="432"/>
      <c r="AE80" s="432"/>
      <c r="AF80" s="432"/>
      <c r="AG80" s="432"/>
      <c r="AH80" s="432"/>
      <c r="AI80" s="432"/>
      <c r="AJ80" s="432"/>
      <c r="AK80" s="432"/>
      <c r="AL80" s="432"/>
      <c r="AM80" s="432"/>
      <c r="AN80" s="432"/>
      <c r="AO80" s="432"/>
    </row>
    <row r="81" spans="1:41" ht="8.25" customHeight="1">
      <c r="B81" s="378"/>
      <c r="C81" s="378"/>
      <c r="D81" s="379"/>
      <c r="E81" s="378"/>
      <c r="F81" s="378"/>
      <c r="G81" s="386"/>
      <c r="H81" s="378"/>
      <c r="I81" s="384"/>
      <c r="J81" s="378"/>
      <c r="K81" s="378"/>
      <c r="L81" s="379"/>
      <c r="M81" s="378"/>
      <c r="N81" s="378"/>
      <c r="O81" s="386"/>
      <c r="P81" s="378"/>
      <c r="Q81" s="383">
        <f t="shared" si="4"/>
        <v>0</v>
      </c>
      <c r="R81" s="383">
        <f t="shared" si="5"/>
        <v>0</v>
      </c>
      <c r="S81" s="432"/>
      <c r="U81" s="432"/>
      <c r="V81" s="432"/>
      <c r="W81" s="432"/>
      <c r="X81" s="432"/>
      <c r="Y81" s="432"/>
      <c r="Z81" s="432"/>
      <c r="AA81" s="432"/>
      <c r="AB81" s="432"/>
      <c r="AC81" s="432"/>
      <c r="AD81" s="432"/>
      <c r="AE81" s="432"/>
      <c r="AF81" s="432"/>
      <c r="AG81" s="432"/>
      <c r="AH81" s="432"/>
      <c r="AI81" s="432"/>
      <c r="AJ81" s="432"/>
      <c r="AK81" s="432"/>
      <c r="AL81" s="432"/>
      <c r="AM81" s="432"/>
      <c r="AN81" s="432"/>
      <c r="AO81" s="432"/>
    </row>
    <row r="82" spans="1:41" ht="15.75" customHeight="1">
      <c r="A82" s="349" t="s">
        <v>893</v>
      </c>
      <c r="B82" s="378">
        <f>('Pivot Table for Data Exchange'!$D$295)*100</f>
        <v>79.677960286545343</v>
      </c>
      <c r="C82" s="378">
        <f>('Pivot Table for Data Exchange'!$D$298)*100</f>
        <v>5.4376926458045416</v>
      </c>
      <c r="D82" s="379">
        <f>SUM(E82:G82)</f>
        <v>14.525131967112596</v>
      </c>
      <c r="E82" s="378">
        <f>('Pivot Table for Data Exchange'!$D$301)*100</f>
        <v>12.982863221306539</v>
      </c>
      <c r="F82" s="378">
        <f>('Pivot Table for Data Exchange'!$D$304)*100</f>
        <v>1.5422687458060569</v>
      </c>
      <c r="G82" s="386">
        <f>('Pivot Table for Data Exchange'!$D$307)*100</f>
        <v>0</v>
      </c>
      <c r="H82" s="378">
        <f>('Pivot Table for Data Exchange'!$D$310)*100</f>
        <v>0.35921510053751365</v>
      </c>
      <c r="I82" s="384" t="s">
        <v>893</v>
      </c>
      <c r="J82" s="378">
        <f>('Pivot Table for Data Exchange'!$D$313)*100</f>
        <v>70.274793114355973</v>
      </c>
      <c r="K82" s="378">
        <f>('Pivot Table for Data Exchange'!$D$316)*100</f>
        <v>7.631554780053265</v>
      </c>
      <c r="L82" s="379">
        <f>SUM(M82:O82)</f>
        <v>22.069162559565719</v>
      </c>
      <c r="M82" s="378">
        <f>('Pivot Table for Data Exchange'!$D$319)*100</f>
        <v>21.300803053030069</v>
      </c>
      <c r="N82" s="378">
        <f>('Pivot Table for Data Exchange'!$D$322)*100</f>
        <v>0.76835950653564755</v>
      </c>
      <c r="O82" s="386">
        <f>('Pivot Table for Data Exchange'!$D$325)*100</f>
        <v>0</v>
      </c>
      <c r="P82" s="390">
        <f>('Pivot Table for Data Exchange'!$D$328)*100</f>
        <v>2.4489546025040561E-2</v>
      </c>
      <c r="Q82" s="383">
        <f t="shared" si="4"/>
        <v>100</v>
      </c>
      <c r="R82" s="383">
        <f t="shared" si="5"/>
        <v>99.999999999999986</v>
      </c>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row>
    <row r="83" spans="1:41" ht="15.75" customHeight="1">
      <c r="A83" s="349" t="s">
        <v>894</v>
      </c>
      <c r="B83" s="378">
        <f>('Pivot Table for Data Exchange'!$D$331)*100</f>
        <v>79.574111540269342</v>
      </c>
      <c r="C83" s="378">
        <f>('Pivot Table for Data Exchange'!$D$334)*100</f>
        <v>0.38451320408281969</v>
      </c>
      <c r="D83" s="379">
        <f>SUM(E83:G83)</f>
        <v>20.041375255647836</v>
      </c>
      <c r="E83" s="378">
        <f>('Pivot Table for Data Exchange'!$D$337)*100</f>
        <v>20.024397567160122</v>
      </c>
      <c r="F83" s="390">
        <f>('Pivot Table for Data Exchange'!$D$340)*100</f>
        <v>1.6977688487712396E-2</v>
      </c>
      <c r="G83" s="386">
        <f>('Pivot Table for Data Exchange'!$D$343)*100</f>
        <v>0</v>
      </c>
      <c r="H83" s="378">
        <f>('Pivot Table for Data Exchange'!$D$346)*100</f>
        <v>0</v>
      </c>
      <c r="I83" s="384" t="s">
        <v>894</v>
      </c>
      <c r="J83" s="378">
        <f>('Pivot Table for Data Exchange'!$D$349)*100</f>
        <v>41.33471039642604</v>
      </c>
      <c r="K83" s="378">
        <f>('Pivot Table for Data Exchange'!$D$352)*100</f>
        <v>4.6307749582677822</v>
      </c>
      <c r="L83" s="379">
        <f>SUM(M83:O83)</f>
        <v>54.034514645306174</v>
      </c>
      <c r="M83" s="378">
        <f>('Pivot Table for Data Exchange'!$D$355)*100</f>
        <v>53.881996901608041</v>
      </c>
      <c r="N83" s="390">
        <f>('Pivot Table for Data Exchange'!$D$358)*100</f>
        <v>0.15251774369813495</v>
      </c>
      <c r="O83" s="386">
        <f>('Pivot Table for Data Exchange'!$D$361)*100</f>
        <v>0</v>
      </c>
      <c r="P83" s="378">
        <f>('Pivot Table for Data Exchange'!$D$364)*100</f>
        <v>0</v>
      </c>
      <c r="Q83" s="383">
        <f t="shared" si="4"/>
        <v>100</v>
      </c>
      <c r="R83" s="383">
        <f t="shared" si="5"/>
        <v>100</v>
      </c>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row>
    <row r="84" spans="1:41" ht="15.75" customHeight="1">
      <c r="A84" s="349" t="s">
        <v>895</v>
      </c>
      <c r="B84" s="378">
        <f>('Pivot Table for Data Exchange'!$D$367)*100</f>
        <v>0</v>
      </c>
      <c r="C84" s="378">
        <f>('Pivot Table for Data Exchange'!$D$370)*100</f>
        <v>0</v>
      </c>
      <c r="D84" s="379">
        <f>SUM(E84:G84)</f>
        <v>0</v>
      </c>
      <c r="E84" s="378">
        <f>('Pivot Table for Data Exchange'!$D$373)*100</f>
        <v>0</v>
      </c>
      <c r="F84" s="378">
        <f>('Pivot Table for Data Exchange'!$D$376)*100</f>
        <v>0</v>
      </c>
      <c r="G84" s="386">
        <f>('Pivot Table for Data Exchange'!$D$379)*100</f>
        <v>0</v>
      </c>
      <c r="H84" s="378">
        <f>('Pivot Table for Data Exchange'!$D$382)*100</f>
        <v>0</v>
      </c>
      <c r="I84" s="384" t="s">
        <v>895</v>
      </c>
      <c r="J84" s="378">
        <f>('Pivot Table for Data Exchange'!$D$385)*100</f>
        <v>0</v>
      </c>
      <c r="K84" s="378">
        <f>('Pivot Table for Data Exchange'!$D$388)*100</f>
        <v>0</v>
      </c>
      <c r="L84" s="379">
        <f>SUM(M84:O84)</f>
        <v>0</v>
      </c>
      <c r="M84" s="378">
        <f>('Pivot Table for Data Exchange'!$D$391)*100</f>
        <v>0</v>
      </c>
      <c r="N84" s="378">
        <f>('Pivot Table for Data Exchange'!$D$394)*100</f>
        <v>0</v>
      </c>
      <c r="O84" s="386">
        <f>('Pivot Table for Data Exchange'!$D$397)*100</f>
        <v>0</v>
      </c>
      <c r="P84" s="378">
        <f>('Pivot Table for Data Exchange'!$D$400)*100</f>
        <v>0</v>
      </c>
      <c r="Q84" s="383">
        <f t="shared" si="4"/>
        <v>0</v>
      </c>
      <c r="R84" s="383">
        <f t="shared" si="5"/>
        <v>0</v>
      </c>
      <c r="S84" s="432"/>
      <c r="T84" s="436"/>
      <c r="U84" s="432"/>
      <c r="V84" s="432"/>
      <c r="W84" s="432"/>
      <c r="X84" s="432"/>
      <c r="Y84" s="432"/>
      <c r="Z84" s="432"/>
      <c r="AA84" s="432"/>
      <c r="AB84" s="432"/>
      <c r="AC84" s="432"/>
      <c r="AD84" s="432"/>
      <c r="AE84" s="432"/>
      <c r="AF84" s="432"/>
      <c r="AG84" s="432"/>
      <c r="AH84" s="432"/>
      <c r="AI84" s="432"/>
      <c r="AJ84" s="432"/>
      <c r="AK84" s="432"/>
      <c r="AL84" s="432"/>
      <c r="AM84" s="432"/>
      <c r="AN84" s="432"/>
      <c r="AO84" s="432"/>
    </row>
    <row r="85" spans="1:41" ht="15.75" customHeight="1">
      <c r="A85" s="349" t="s">
        <v>896</v>
      </c>
      <c r="B85" s="378">
        <f>('Pivot Table for Data Exchange'!$D$403)*100</f>
        <v>0</v>
      </c>
      <c r="C85" s="378">
        <f>('Pivot Table for Data Exchange'!$D$406)*100</f>
        <v>0</v>
      </c>
      <c r="D85" s="379">
        <f>SUM(E85:G85)</f>
        <v>0</v>
      </c>
      <c r="E85" s="378">
        <f>('Pivot Table for Data Exchange'!$D$409)*100</f>
        <v>0</v>
      </c>
      <c r="F85" s="378">
        <f>('Pivot Table for Data Exchange'!$D$412)*100</f>
        <v>0</v>
      </c>
      <c r="G85" s="386">
        <f>('Pivot Table for Data Exchange'!$D$415)*100</f>
        <v>0</v>
      </c>
      <c r="H85" s="378">
        <f>('Pivot Table for Data Exchange'!$D$418)*100</f>
        <v>0</v>
      </c>
      <c r="I85" s="384" t="s">
        <v>896</v>
      </c>
      <c r="J85" s="378">
        <f>('Pivot Table for Data Exchange'!$D$421)*100</f>
        <v>0</v>
      </c>
      <c r="K85" s="378">
        <f>('Pivot Table for Data Exchange'!$D$424)*100</f>
        <v>0</v>
      </c>
      <c r="L85" s="379">
        <f>SUM(M85:O85)</f>
        <v>0</v>
      </c>
      <c r="M85" s="378">
        <f>('Pivot Table for Data Exchange'!$D$427)*100</f>
        <v>0</v>
      </c>
      <c r="N85" s="378">
        <f>('Pivot Table for Data Exchange'!$D$430)*100</f>
        <v>0</v>
      </c>
      <c r="O85" s="386">
        <f>('Pivot Table for Data Exchange'!$D$433)*100</f>
        <v>0</v>
      </c>
      <c r="P85" s="378">
        <f>('Pivot Table for Data Exchange'!$D$436)*100</f>
        <v>0</v>
      </c>
      <c r="Q85" s="383">
        <f t="shared" si="4"/>
        <v>0</v>
      </c>
      <c r="R85" s="383">
        <f t="shared" si="5"/>
        <v>0</v>
      </c>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row>
    <row r="86" spans="1:41" ht="8.25" customHeight="1">
      <c r="B86" s="378"/>
      <c r="C86" s="378"/>
      <c r="D86" s="379"/>
      <c r="E86" s="378"/>
      <c r="F86" s="378"/>
      <c r="G86" s="386"/>
      <c r="H86" s="378"/>
      <c r="I86" s="384"/>
      <c r="J86" s="378"/>
      <c r="K86" s="378"/>
      <c r="L86" s="379"/>
      <c r="M86" s="378"/>
      <c r="N86" s="378"/>
      <c r="O86" s="386"/>
      <c r="P86" s="378"/>
      <c r="Q86" s="383">
        <f t="shared" si="4"/>
        <v>0</v>
      </c>
      <c r="R86" s="383">
        <f t="shared" si="5"/>
        <v>0</v>
      </c>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row>
    <row r="87" spans="1:41" ht="15.75" customHeight="1">
      <c r="A87" s="349" t="s">
        <v>897</v>
      </c>
      <c r="B87" s="378">
        <f>('Pivot Table for Data Exchange'!$D$439)*100</f>
        <v>75.861404592197346</v>
      </c>
      <c r="C87" s="378">
        <f>('Pivot Table for Data Exchange'!$D$442)*100</f>
        <v>3.5022019954347763</v>
      </c>
      <c r="D87" s="379">
        <f>SUM(E87:G87)</f>
        <v>20.005151340920406</v>
      </c>
      <c r="E87" s="378">
        <f>('Pivot Table for Data Exchange'!$D$445)*100</f>
        <v>15.613024780180723</v>
      </c>
      <c r="F87" s="378">
        <f>('Pivot Table for Data Exchange'!$D$448)*100</f>
        <v>0.67961194583790918</v>
      </c>
      <c r="G87" s="386">
        <f>('Pivot Table for Data Exchange'!$D$451)*100</f>
        <v>3.7125146149017749</v>
      </c>
      <c r="H87" s="378">
        <f>('Pivot Table for Data Exchange'!$D$454)*100</f>
        <v>0.63124207144747602</v>
      </c>
      <c r="I87" s="384" t="s">
        <v>897</v>
      </c>
      <c r="J87" s="378">
        <f>('Pivot Table for Data Exchange'!$D$457)*100</f>
        <v>48.708176550816887</v>
      </c>
      <c r="K87" s="378">
        <f>('Pivot Table for Data Exchange'!$D$460)*100</f>
        <v>9.6671535388514336</v>
      </c>
      <c r="L87" s="379">
        <f>SUM(M87:O87)</f>
        <v>36.705971116549463</v>
      </c>
      <c r="M87" s="378">
        <f>('Pivot Table for Data Exchange'!$D$463)*100</f>
        <v>33.553554328164751</v>
      </c>
      <c r="N87" s="378">
        <f>('Pivot Table for Data Exchange'!$D$466)*100</f>
        <v>0.25826796026349136</v>
      </c>
      <c r="O87" s="386">
        <f>('Pivot Table for Data Exchange'!$D$469)*100</f>
        <v>2.8941488281212213</v>
      </c>
      <c r="P87" s="378">
        <f>('Pivot Table for Data Exchange'!$D$472)*100</f>
        <v>4.9186987937822231</v>
      </c>
      <c r="Q87" s="383">
        <f t="shared" si="4"/>
        <v>100</v>
      </c>
      <c r="R87" s="383">
        <f t="shared" si="5"/>
        <v>100.00000000000001</v>
      </c>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row>
    <row r="88" spans="1:41" ht="15.75" customHeight="1">
      <c r="A88" s="349" t="s">
        <v>898</v>
      </c>
      <c r="B88" s="378">
        <f>('Pivot Table for Data Exchange'!$D$475)*100</f>
        <v>83.63347099461609</v>
      </c>
      <c r="C88" s="378">
        <f>('Pivot Table for Data Exchange'!$D$478)*100</f>
        <v>2.2570876708522416</v>
      </c>
      <c r="D88" s="379">
        <f>SUM(E88:G88)</f>
        <v>14.10944133453167</v>
      </c>
      <c r="E88" s="378">
        <f>('Pivot Table for Data Exchange'!$D$481)*100</f>
        <v>14.081224664934734</v>
      </c>
      <c r="F88" s="378">
        <f>('Pivot Table for Data Exchange'!$D$484)*100</f>
        <v>2.5450329440375532E-2</v>
      </c>
      <c r="G88" s="385">
        <f>('Pivot Table for Data Exchange'!$D$487)*100</f>
        <v>2.766340156562558E-3</v>
      </c>
      <c r="H88" s="378">
        <f>('Pivot Table for Data Exchange'!$D$490)*100</f>
        <v>0</v>
      </c>
      <c r="I88" s="384" t="s">
        <v>898</v>
      </c>
      <c r="J88" s="378">
        <f>('Pivot Table for Data Exchange'!$D$493)*100</f>
        <v>57.493642371285517</v>
      </c>
      <c r="K88" s="378">
        <f>('Pivot Table for Data Exchange'!$D$496)*100</f>
        <v>5.395844882658853</v>
      </c>
      <c r="L88" s="379">
        <f>SUM(M88:O88)</f>
        <v>37.110512746055626</v>
      </c>
      <c r="M88" s="378">
        <f>('Pivot Table for Data Exchange'!$D$499)*100</f>
        <v>36.109131226736359</v>
      </c>
      <c r="N88" s="378">
        <f>('Pivot Table for Data Exchange'!$D$502)*100</f>
        <v>0.82627174573004936</v>
      </c>
      <c r="O88" s="385">
        <f>('Pivot Table for Data Exchange'!$D$505)*100</f>
        <v>0.17510977358922239</v>
      </c>
      <c r="P88" s="378">
        <f>('Pivot Table for Data Exchange'!$D$508)*100</f>
        <v>0</v>
      </c>
      <c r="Q88" s="383">
        <f t="shared" si="4"/>
        <v>100</v>
      </c>
      <c r="R88" s="383">
        <f t="shared" si="5"/>
        <v>100</v>
      </c>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row>
    <row r="89" spans="1:41" ht="15.75" customHeight="1">
      <c r="A89" s="349" t="s">
        <v>899</v>
      </c>
      <c r="B89" s="378">
        <f>('Pivot Table for Data Exchange'!$D$511)*100</f>
        <v>96.901220365707488</v>
      </c>
      <c r="C89" s="378">
        <f>('Pivot Table for Data Exchange'!$D$514)*100</f>
        <v>2.7496440264828208</v>
      </c>
      <c r="D89" s="379">
        <f>SUM(E89:G89)</f>
        <v>0.34913560780969694</v>
      </c>
      <c r="E89" s="378">
        <f>('Pivot Table for Data Exchange'!$D$517)*100</f>
        <v>0.3405547019341898</v>
      </c>
      <c r="F89" s="378">
        <f>('Pivot Table for Data Exchange'!$D$520)*100</f>
        <v>8.5809058755071457E-3</v>
      </c>
      <c r="G89" s="386">
        <f>('Pivot Table for Data Exchange'!$D$523)*100</f>
        <v>0</v>
      </c>
      <c r="H89" s="378">
        <f>('Pivot Table for Data Exchange'!$D$526)*100</f>
        <v>0</v>
      </c>
      <c r="I89" s="384" t="s">
        <v>899</v>
      </c>
      <c r="J89" s="378">
        <f>('Pivot Table for Data Exchange'!$D$529)*100</f>
        <v>82.384008502636632</v>
      </c>
      <c r="K89" s="378">
        <f>('Pivot Table for Data Exchange'!$D$532)*100</f>
        <v>8.2124024036299712</v>
      </c>
      <c r="L89" s="379">
        <f>SUM(M89:O89)</f>
        <v>9.4035890937333928</v>
      </c>
      <c r="M89" s="378">
        <f>('Pivot Table for Data Exchange'!$D$535)*100</f>
        <v>9.2073744021583614</v>
      </c>
      <c r="N89" s="378">
        <f>('Pivot Table for Data Exchange'!$D$538)*100</f>
        <v>0.19621469157503169</v>
      </c>
      <c r="O89" s="386">
        <f>('Pivot Table for Data Exchange'!$D$541)*100</f>
        <v>0</v>
      </c>
      <c r="P89" s="378">
        <f>('Pivot Table for Data Exchange'!$D$544)*100</f>
        <v>0</v>
      </c>
      <c r="Q89" s="383">
        <f t="shared" si="4"/>
        <v>100.00000000000001</v>
      </c>
      <c r="R89" s="383">
        <f t="shared" si="5"/>
        <v>99.999999999999986</v>
      </c>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row>
    <row r="90" spans="1:41" ht="15.75" customHeight="1">
      <c r="A90" s="355" t="s">
        <v>900</v>
      </c>
      <c r="B90" s="391">
        <f>('Pivot Table for Data Exchange'!$D$547)*100</f>
        <v>0</v>
      </c>
      <c r="C90" s="391">
        <f>('Pivot Table for Data Exchange'!$D$550)*100</f>
        <v>0</v>
      </c>
      <c r="D90" s="392">
        <f>SUM(E90:G90)</f>
        <v>0</v>
      </c>
      <c r="E90" s="391">
        <f>('Pivot Table for Data Exchange'!$D$553)*100</f>
        <v>0</v>
      </c>
      <c r="F90" s="391">
        <f>('Pivot Table for Data Exchange'!$D$556)*100</f>
        <v>0</v>
      </c>
      <c r="G90" s="393">
        <f>('Pivot Table for Data Exchange'!$D$559)*100</f>
        <v>0</v>
      </c>
      <c r="H90" s="391">
        <f>('Pivot Table for Data Exchange'!$D$562)*100</f>
        <v>0</v>
      </c>
      <c r="I90" s="394" t="s">
        <v>900</v>
      </c>
      <c r="J90" s="391">
        <f>('Pivot Table for Data Exchange'!$D$565)*100</f>
        <v>0</v>
      </c>
      <c r="K90" s="391">
        <f>('Pivot Table for Data Exchange'!$D$568)*100</f>
        <v>0</v>
      </c>
      <c r="L90" s="392">
        <f>SUM(M90:O90)</f>
        <v>0</v>
      </c>
      <c r="M90" s="391">
        <f>('Pivot Table for Data Exchange'!$D$571)*100</f>
        <v>0</v>
      </c>
      <c r="N90" s="391">
        <f>('Pivot Table for Data Exchange'!$D$574)*100</f>
        <v>0</v>
      </c>
      <c r="O90" s="393">
        <f>('Pivot Table for Data Exchange'!$D$577)*100</f>
        <v>0</v>
      </c>
      <c r="P90" s="391">
        <f>('Pivot Table for Data Exchange'!$D$580)*100</f>
        <v>0</v>
      </c>
      <c r="Q90" s="383">
        <f t="shared" si="4"/>
        <v>0</v>
      </c>
      <c r="R90" s="383">
        <f t="shared" si="5"/>
        <v>0</v>
      </c>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row>
    <row r="91" spans="1:41" s="422" customFormat="1" ht="18" customHeight="1">
      <c r="A91" s="397" t="s">
        <v>926</v>
      </c>
      <c r="B91" s="398"/>
      <c r="C91" s="398"/>
      <c r="D91" s="399"/>
      <c r="E91" s="398"/>
      <c r="F91" s="399"/>
      <c r="G91" s="399"/>
      <c r="H91" s="398"/>
      <c r="I91" s="397" t="s">
        <v>926</v>
      </c>
      <c r="J91" s="398"/>
      <c r="K91" s="398"/>
      <c r="L91" s="399"/>
      <c r="M91" s="398"/>
      <c r="N91" s="399"/>
      <c r="O91" s="399"/>
      <c r="P91" s="398"/>
      <c r="Q91" s="383">
        <f t="shared" ref="Q91:Q153" si="14">SUM(B91,C91,D91,H91)</f>
        <v>0</v>
      </c>
      <c r="R91" s="383">
        <f t="shared" ref="R91:R153" si="15">SUM(J91,K91,L91,P91)</f>
        <v>0</v>
      </c>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row>
    <row r="92" spans="1:41" s="422" customFormat="1" ht="9.75" customHeight="1">
      <c r="A92" s="401"/>
      <c r="B92" s="410"/>
      <c r="C92" s="410"/>
      <c r="D92" s="410"/>
      <c r="E92" s="410"/>
      <c r="F92" s="410"/>
      <c r="G92" s="410"/>
      <c r="H92" s="410"/>
      <c r="I92" s="401"/>
      <c r="J92" s="410"/>
      <c r="K92" s="410"/>
      <c r="L92" s="410"/>
      <c r="M92" s="410"/>
      <c r="N92" s="410"/>
      <c r="O92" s="410"/>
      <c r="P92" s="410"/>
      <c r="Q92" s="383">
        <f t="shared" si="14"/>
        <v>0</v>
      </c>
      <c r="R92" s="383">
        <f t="shared" si="15"/>
        <v>0</v>
      </c>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row>
    <row r="93" spans="1:41" s="422" customFormat="1" ht="13.5" customHeight="1">
      <c r="A93" s="407"/>
      <c r="B93" s="408"/>
      <c r="C93" s="396"/>
      <c r="D93" s="396"/>
      <c r="E93" s="396"/>
      <c r="F93" s="396"/>
      <c r="G93" s="396"/>
      <c r="H93" s="402" t="s">
        <v>1007</v>
      </c>
      <c r="I93" s="407"/>
      <c r="J93" s="396"/>
      <c r="K93" s="396"/>
      <c r="L93" s="396"/>
      <c r="M93" s="396"/>
      <c r="N93" s="396"/>
      <c r="O93" s="396"/>
      <c r="P93" s="402" t="s">
        <v>1007</v>
      </c>
      <c r="Q93" s="383">
        <f t="shared" si="14"/>
        <v>0</v>
      </c>
      <c r="R93" s="383">
        <f t="shared" si="15"/>
        <v>0</v>
      </c>
    </row>
    <row r="94" spans="1:41" ht="18">
      <c r="A94" s="344" t="s">
        <v>930</v>
      </c>
      <c r="B94" s="345"/>
      <c r="C94" s="345"/>
      <c r="D94" s="345"/>
      <c r="E94" s="345"/>
      <c r="F94" s="345"/>
      <c r="G94" s="345"/>
      <c r="H94" s="345"/>
      <c r="I94" s="344" t="s">
        <v>931</v>
      </c>
      <c r="J94" s="346"/>
      <c r="K94" s="346"/>
      <c r="L94" s="345"/>
      <c r="M94" s="346"/>
      <c r="N94" s="346"/>
      <c r="O94" s="346"/>
      <c r="P94" s="346"/>
      <c r="Q94" s="383">
        <f t="shared" si="14"/>
        <v>0</v>
      </c>
      <c r="R94" s="383">
        <f t="shared" si="15"/>
        <v>0</v>
      </c>
    </row>
    <row r="95" spans="1:41">
      <c r="A95" s="350"/>
      <c r="B95" s="346"/>
      <c r="C95" s="346"/>
      <c r="D95" s="346"/>
      <c r="E95" s="346"/>
      <c r="F95" s="346"/>
      <c r="G95" s="346"/>
      <c r="H95" s="346"/>
      <c r="I95" s="350"/>
      <c r="J95" s="346"/>
      <c r="K95" s="346"/>
      <c r="L95" s="346"/>
      <c r="M95" s="346"/>
      <c r="N95" s="346"/>
      <c r="O95" s="346"/>
      <c r="P95" s="346"/>
      <c r="Q95" s="383">
        <f t="shared" si="14"/>
        <v>0</v>
      </c>
      <c r="R95" s="383">
        <f t="shared" si="15"/>
        <v>0</v>
      </c>
    </row>
    <row r="96" spans="1:41" ht="15.75">
      <c r="A96" s="352" t="s">
        <v>906</v>
      </c>
      <c r="B96" s="346"/>
      <c r="C96" s="346"/>
      <c r="D96" s="346"/>
      <c r="E96" s="346"/>
      <c r="F96" s="346"/>
      <c r="G96" s="346"/>
      <c r="H96" s="346"/>
      <c r="I96" s="352" t="s">
        <v>907</v>
      </c>
      <c r="J96" s="346"/>
      <c r="K96" s="346"/>
      <c r="L96" s="346"/>
      <c r="M96" s="346"/>
      <c r="N96" s="346"/>
      <c r="O96" s="346"/>
      <c r="P96" s="346"/>
      <c r="Q96" s="383">
        <f t="shared" si="14"/>
        <v>0</v>
      </c>
      <c r="R96" s="383">
        <f t="shared" si="15"/>
        <v>0</v>
      </c>
    </row>
    <row r="97" spans="1:41" ht="15.75">
      <c r="A97" s="352" t="s">
        <v>969</v>
      </c>
      <c r="B97" s="346"/>
      <c r="C97" s="346"/>
      <c r="D97" s="346"/>
      <c r="E97" s="346"/>
      <c r="F97" s="346"/>
      <c r="G97" s="346"/>
      <c r="H97" s="346"/>
      <c r="I97" s="352" t="s">
        <v>969</v>
      </c>
      <c r="J97" s="346"/>
      <c r="K97" s="346"/>
      <c r="L97" s="346"/>
      <c r="M97" s="346"/>
      <c r="N97" s="346"/>
      <c r="O97" s="346"/>
      <c r="P97" s="346"/>
      <c r="Q97" s="383">
        <f t="shared" si="14"/>
        <v>0</v>
      </c>
      <c r="R97" s="383">
        <f t="shared" si="15"/>
        <v>0</v>
      </c>
    </row>
    <row r="98" spans="1:41">
      <c r="A98" s="355"/>
      <c r="B98" s="356"/>
      <c r="C98" s="356"/>
      <c r="D98" s="356"/>
      <c r="E98" s="356"/>
      <c r="F98" s="356"/>
      <c r="G98" s="356"/>
      <c r="H98" s="356"/>
      <c r="I98" s="357"/>
      <c r="L98" s="358"/>
      <c r="P98" s="355"/>
      <c r="Q98" s="383">
        <f t="shared" si="14"/>
        <v>0</v>
      </c>
      <c r="R98" s="383">
        <f t="shared" si="15"/>
        <v>0</v>
      </c>
    </row>
    <row r="99" spans="1:41" s="376" customFormat="1">
      <c r="A99" s="360"/>
      <c r="B99" s="361" t="s">
        <v>908</v>
      </c>
      <c r="C99" s="361"/>
      <c r="D99" s="361"/>
      <c r="E99" s="361"/>
      <c r="F99" s="361"/>
      <c r="G99" s="361"/>
      <c r="H99" s="362"/>
      <c r="I99" s="360"/>
      <c r="J99" s="361" t="s">
        <v>908</v>
      </c>
      <c r="K99" s="361"/>
      <c r="L99" s="361"/>
      <c r="M99" s="361"/>
      <c r="N99" s="361"/>
      <c r="O99" s="361"/>
      <c r="P99" s="362"/>
      <c r="Q99" s="383">
        <f t="shared" si="14"/>
        <v>0</v>
      </c>
      <c r="R99" s="383">
        <f t="shared" si="15"/>
        <v>0</v>
      </c>
    </row>
    <row r="100" spans="1:41" s="376" customFormat="1">
      <c r="A100" s="360"/>
      <c r="B100" s="361" t="s">
        <v>909</v>
      </c>
      <c r="C100" s="361"/>
      <c r="D100" s="506" t="s">
        <v>910</v>
      </c>
      <c r="E100" s="504"/>
      <c r="F100" s="504"/>
      <c r="G100" s="504"/>
      <c r="H100" s="368" t="s">
        <v>800</v>
      </c>
      <c r="I100" s="360"/>
      <c r="J100" s="361" t="s">
        <v>909</v>
      </c>
      <c r="K100" s="361"/>
      <c r="L100" s="506" t="s">
        <v>910</v>
      </c>
      <c r="M100" s="504"/>
      <c r="N100" s="504"/>
      <c r="O100" s="504"/>
      <c r="P100" s="368" t="s">
        <v>800</v>
      </c>
      <c r="Q100" s="383">
        <f t="shared" si="14"/>
        <v>0</v>
      </c>
      <c r="R100" s="383">
        <f t="shared" si="15"/>
        <v>0</v>
      </c>
    </row>
    <row r="101" spans="1:41" s="376" customFormat="1" ht="40.5" customHeight="1">
      <c r="A101" s="360"/>
      <c r="B101" s="369" t="s">
        <v>911</v>
      </c>
      <c r="C101" s="370" t="s">
        <v>912</v>
      </c>
      <c r="D101" s="371" t="s">
        <v>913</v>
      </c>
      <c r="E101" s="372" t="s">
        <v>10</v>
      </c>
      <c r="F101" s="369" t="s">
        <v>914</v>
      </c>
      <c r="G101" s="373" t="s">
        <v>924</v>
      </c>
      <c r="H101" s="374" t="s">
        <v>916</v>
      </c>
      <c r="I101" s="360"/>
      <c r="J101" s="369" t="s">
        <v>911</v>
      </c>
      <c r="K101" s="370" t="s">
        <v>912</v>
      </c>
      <c r="L101" s="371" t="s">
        <v>913</v>
      </c>
      <c r="M101" s="372" t="s">
        <v>10</v>
      </c>
      <c r="N101" s="369" t="s">
        <v>914</v>
      </c>
      <c r="O101" s="373" t="s">
        <v>924</v>
      </c>
      <c r="P101" s="374" t="s">
        <v>916</v>
      </c>
      <c r="Q101" s="383">
        <f t="shared" si="14"/>
        <v>0</v>
      </c>
      <c r="R101" s="383">
        <f t="shared" si="15"/>
        <v>0</v>
      </c>
      <c r="T101" s="375"/>
    </row>
    <row r="102" spans="1:41" ht="15.75" customHeight="1">
      <c r="A102" s="404" t="s">
        <v>885</v>
      </c>
      <c r="B102" s="431">
        <f>('Pivot Table for Data Exchange'!$E$7)*100</f>
        <v>80.614025098067742</v>
      </c>
      <c r="C102" s="378">
        <f>('Pivot Table for Data Exchange'!$E$10)*100</f>
        <v>0.35303428614629917</v>
      </c>
      <c r="D102" s="379">
        <f>SUM(E102:G102)</f>
        <v>19.032940615785964</v>
      </c>
      <c r="E102" s="378">
        <f>('Pivot Table for Data Exchange'!$E$13)*100</f>
        <v>18.94164359518863</v>
      </c>
      <c r="F102" s="378">
        <f>('Pivot Table for Data Exchange'!$E$16)*100</f>
        <v>9.129702059733516E-2</v>
      </c>
      <c r="G102" s="382">
        <f>('Pivot Table for Data Exchange'!$E$19)*100</f>
        <v>0</v>
      </c>
      <c r="H102" s="378">
        <f>('Pivot Table for Data Exchange'!$E$22)*100</f>
        <v>0</v>
      </c>
      <c r="I102" s="381" t="s">
        <v>885</v>
      </c>
      <c r="J102" s="378">
        <f>('Pivot Table for Data Exchange'!$E$25)*100</f>
        <v>54.952545547584798</v>
      </c>
      <c r="K102" s="378">
        <f>('Pivot Table for Data Exchange'!$E$28)*100</f>
        <v>0.31958135807594645</v>
      </c>
      <c r="L102" s="379">
        <f>SUM(M102:O102)</f>
        <v>44.727873094339259</v>
      </c>
      <c r="M102" s="378">
        <f>('Pivot Table for Data Exchange'!$E$31)*100</f>
        <v>44.727873094339259</v>
      </c>
      <c r="N102" s="378">
        <f>('Pivot Table for Data Exchange'!$E$34)*100</f>
        <v>0</v>
      </c>
      <c r="O102" s="382">
        <f>('Pivot Table for Data Exchange'!$E$37)*100</f>
        <v>0</v>
      </c>
      <c r="P102" s="378">
        <f>('Pivot Table for Data Exchange'!$E$40)*100</f>
        <v>0</v>
      </c>
      <c r="Q102" s="383">
        <f t="shared" si="14"/>
        <v>100</v>
      </c>
      <c r="R102" s="383">
        <f t="shared" si="15"/>
        <v>100</v>
      </c>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row>
    <row r="103" spans="1:41" ht="15.75" customHeight="1">
      <c r="A103" s="349" t="s">
        <v>886</v>
      </c>
      <c r="B103" s="378">
        <f>('Pivot Table for Data Exchange'!$E$43)*100</f>
        <v>73.883148397692338</v>
      </c>
      <c r="C103" s="378">
        <f>('Pivot Table for Data Exchange'!$E$46)*100</f>
        <v>4.4597738661725694</v>
      </c>
      <c r="D103" s="379">
        <f t="shared" ref="D103:D105" si="16">SUM(E103:G103)</f>
        <v>21.65707773613509</v>
      </c>
      <c r="E103" s="378">
        <f>('Pivot Table for Data Exchange'!$E$49)*100</f>
        <v>21.208073651408597</v>
      </c>
      <c r="F103" s="378">
        <f>('Pivot Table for Data Exchange'!$E$52)*100</f>
        <v>0.18291784225375837</v>
      </c>
      <c r="G103" s="386">
        <f>('Pivot Table for Data Exchange'!$E$55)*100</f>
        <v>0.26608624247273338</v>
      </c>
      <c r="H103" s="390">
        <f>('Pivot Table for Data Exchange'!$E$58)*100</f>
        <v>0</v>
      </c>
      <c r="I103" s="384" t="s">
        <v>886</v>
      </c>
      <c r="J103" s="378">
        <f>('Pivot Table for Data Exchange'!$E$61)*100</f>
        <v>31.324086089464732</v>
      </c>
      <c r="K103" s="378">
        <f>('Pivot Table for Data Exchange'!$E$64)*100</f>
        <v>0.2111222424678442</v>
      </c>
      <c r="L103" s="379">
        <f t="shared" ref="L103:L105" si="17">SUM(M103:O103)</f>
        <v>68.46479166806742</v>
      </c>
      <c r="M103" s="378">
        <f>('Pivot Table for Data Exchange'!$E$67)*100</f>
        <v>64.853525539740062</v>
      </c>
      <c r="N103" s="378">
        <f>('Pivot Table for Data Exchange'!$E$70)*100</f>
        <v>3.2239845625264745</v>
      </c>
      <c r="O103" s="386">
        <f>('Pivot Table for Data Exchange'!$E$73)*100</f>
        <v>0.38728156580088618</v>
      </c>
      <c r="P103" s="378">
        <f>('Pivot Table for Data Exchange'!$E$76)*100</f>
        <v>0</v>
      </c>
      <c r="Q103" s="383">
        <f t="shared" si="14"/>
        <v>100</v>
      </c>
      <c r="R103" s="383">
        <f t="shared" si="15"/>
        <v>100</v>
      </c>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row>
    <row r="104" spans="1:41" ht="15.75" customHeight="1">
      <c r="A104" s="349" t="s">
        <v>887</v>
      </c>
      <c r="B104" s="378">
        <f>('Pivot Table for Data Exchange'!$E$79)*100</f>
        <v>94.801350087430365</v>
      </c>
      <c r="C104" s="378">
        <f>('Pivot Table for Data Exchange'!$E$82)*100</f>
        <v>0</v>
      </c>
      <c r="D104" s="379">
        <f t="shared" si="16"/>
        <v>5.1986499125696399</v>
      </c>
      <c r="E104" s="378">
        <f>('Pivot Table for Data Exchange'!$E$85)*100</f>
        <v>5.1986499125696399</v>
      </c>
      <c r="F104" s="378">
        <f>('Pivot Table for Data Exchange'!$E$88)*100</f>
        <v>0</v>
      </c>
      <c r="G104" s="386">
        <f>('Pivot Table for Data Exchange'!$E$91)*100</f>
        <v>0</v>
      </c>
      <c r="H104" s="378">
        <f>('Pivot Table for Data Exchange'!$E$94)*100</f>
        <v>0</v>
      </c>
      <c r="I104" s="384" t="s">
        <v>887</v>
      </c>
      <c r="J104" s="378">
        <f>('Pivot Table for Data Exchange'!$E$97)*100</f>
        <v>89.547038327526124</v>
      </c>
      <c r="K104" s="378">
        <f>('Pivot Table for Data Exchange'!$E$100)*100</f>
        <v>0</v>
      </c>
      <c r="L104" s="379">
        <f t="shared" si="17"/>
        <v>10.452961672473867</v>
      </c>
      <c r="M104" s="378">
        <f>('Pivot Table for Data Exchange'!$E$103)*100</f>
        <v>10.452961672473867</v>
      </c>
      <c r="N104" s="378">
        <f>('Pivot Table for Data Exchange'!$E$106)*100</f>
        <v>0</v>
      </c>
      <c r="O104" s="386">
        <f>('Pivot Table for Data Exchange'!$E$109)*100</f>
        <v>0</v>
      </c>
      <c r="P104" s="378">
        <f>('Pivot Table for Data Exchange'!$E$112)*100</f>
        <v>0</v>
      </c>
      <c r="Q104" s="383">
        <f t="shared" si="14"/>
        <v>100</v>
      </c>
      <c r="R104" s="383">
        <f t="shared" si="15"/>
        <v>99.999999999999986</v>
      </c>
      <c r="S104" s="432"/>
      <c r="T104" s="436"/>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row>
    <row r="105" spans="1:41" ht="15.75" customHeight="1">
      <c r="A105" s="349" t="s">
        <v>925</v>
      </c>
      <c r="B105" s="378">
        <f>('Pivot Table for Data Exchange'!$E$115)*100</f>
        <v>0</v>
      </c>
      <c r="C105" s="378">
        <f>('Pivot Table for Data Exchange'!$E$118)*100</f>
        <v>0</v>
      </c>
      <c r="D105" s="379">
        <f t="shared" si="16"/>
        <v>0</v>
      </c>
      <c r="E105" s="378">
        <f>('Pivot Table for Data Exchange'!$E$121)*100</f>
        <v>0</v>
      </c>
      <c r="F105" s="378">
        <f>('Pivot Table for Data Exchange'!$E$124)*100</f>
        <v>0</v>
      </c>
      <c r="G105" s="386">
        <f>('Pivot Table for Data Exchange'!$E$127)*100</f>
        <v>0</v>
      </c>
      <c r="H105" s="378">
        <f>('Pivot Table for Data Exchange'!$E$130)*100</f>
        <v>0</v>
      </c>
      <c r="I105" s="384" t="s">
        <v>925</v>
      </c>
      <c r="J105" s="378">
        <f>('Pivot Table for Data Exchange'!$E$133)*100</f>
        <v>0</v>
      </c>
      <c r="K105" s="378">
        <f>('Pivot Table for Data Exchange'!$E$136)*100</f>
        <v>0</v>
      </c>
      <c r="L105" s="379">
        <f t="shared" si="17"/>
        <v>0</v>
      </c>
      <c r="M105" s="378">
        <f>('Pivot Table for Data Exchange'!$E$139)*100</f>
        <v>0</v>
      </c>
      <c r="N105" s="378">
        <f>('Pivot Table for Data Exchange'!$E$142)*100</f>
        <v>0</v>
      </c>
      <c r="O105" s="386">
        <f>('Pivot Table for Data Exchange'!$E$145)*100</f>
        <v>0</v>
      </c>
      <c r="P105" s="378">
        <f>('Pivot Table for Data Exchange'!$E$148)*100</f>
        <v>0</v>
      </c>
      <c r="Q105" s="383">
        <f t="shared" si="14"/>
        <v>0</v>
      </c>
      <c r="R105" s="383">
        <f t="shared" si="15"/>
        <v>0</v>
      </c>
      <c r="S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row>
    <row r="106" spans="1:41" ht="11.25" customHeight="1">
      <c r="B106" s="378"/>
      <c r="C106" s="378"/>
      <c r="D106" s="379"/>
      <c r="E106" s="378"/>
      <c r="F106" s="378"/>
      <c r="G106" s="386"/>
      <c r="H106" s="378"/>
      <c r="I106" s="384"/>
      <c r="J106" s="378"/>
      <c r="K106" s="378"/>
      <c r="L106" s="379"/>
      <c r="M106" s="378"/>
      <c r="N106" s="378"/>
      <c r="O106" s="386"/>
      <c r="P106" s="378"/>
      <c r="Q106" s="383">
        <f t="shared" si="14"/>
        <v>0</v>
      </c>
      <c r="R106" s="383">
        <f t="shared" si="15"/>
        <v>0</v>
      </c>
      <c r="S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row>
    <row r="107" spans="1:41" ht="15.75" customHeight="1">
      <c r="A107" s="349" t="s">
        <v>889</v>
      </c>
      <c r="B107" s="378">
        <f>('Pivot Table for Data Exchange'!$E$151)*100</f>
        <v>76.291649046360263</v>
      </c>
      <c r="C107" s="378">
        <f>('Pivot Table for Data Exchange'!$E$154)*100</f>
        <v>0.99245232324066579</v>
      </c>
      <c r="D107" s="379">
        <f t="shared" ref="D107:D108" si="18">SUM(E107:G107)</f>
        <v>22.715898630399067</v>
      </c>
      <c r="E107" s="378">
        <f>('Pivot Table for Data Exchange'!$E$157)*100</f>
        <v>22.700844049703118</v>
      </c>
      <c r="F107" s="390">
        <f>('Pivot Table for Data Exchange'!$E$160)*100</f>
        <v>1.1918209717627293E-2</v>
      </c>
      <c r="G107" s="385">
        <f>('Pivot Table for Data Exchange'!$E$163)*100</f>
        <v>3.136370978322972E-3</v>
      </c>
      <c r="H107" s="378">
        <f>('Pivot Table for Data Exchange'!$E$166)*100</f>
        <v>0</v>
      </c>
      <c r="I107" s="384" t="s">
        <v>889</v>
      </c>
      <c r="J107" s="378">
        <f>('Pivot Table for Data Exchange'!$E$169)*100</f>
        <v>33.50258055516808</v>
      </c>
      <c r="K107" s="378">
        <f>('Pivot Table for Data Exchange'!$E$172)*100</f>
        <v>1.3904310224578045</v>
      </c>
      <c r="L107" s="379">
        <f t="shared" ref="L107:L108" si="19">SUM(M107:O107)</f>
        <v>67.781838471195428</v>
      </c>
      <c r="M107" s="378">
        <f>('Pivot Table for Data Exchange'!$E$175)*100</f>
        <v>67.737201841260983</v>
      </c>
      <c r="N107" s="387">
        <f>('Pivot Table for Data Exchange'!$E$178)*100</f>
        <v>1.1717115357790487E-2</v>
      </c>
      <c r="O107" s="386">
        <f>('Pivot Table for Data Exchange'!$E$181)*100</f>
        <v>3.2919514576649461E-2</v>
      </c>
      <c r="P107" s="378">
        <f>('Pivot Table for Data Exchange'!$E$184)*100</f>
        <v>0</v>
      </c>
      <c r="Q107" s="383">
        <f t="shared" si="14"/>
        <v>100</v>
      </c>
      <c r="R107" s="383">
        <f t="shared" si="15"/>
        <v>102.67485004882131</v>
      </c>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row>
    <row r="108" spans="1:41" ht="15.75" customHeight="1">
      <c r="A108" s="349" t="s">
        <v>890</v>
      </c>
      <c r="B108" s="378">
        <f>('Pivot Table for Data Exchange'!$E$187)*100</f>
        <v>74.169271534794561</v>
      </c>
      <c r="C108" s="378">
        <f>('Pivot Table for Data Exchange'!$E$190)*100</f>
        <v>6.2161027831893607</v>
      </c>
      <c r="D108" s="379">
        <f t="shared" si="18"/>
        <v>19.614625682016076</v>
      </c>
      <c r="E108" s="378">
        <f>('Pivot Table for Data Exchange'!$E$193)*100</f>
        <v>18.135519960911317</v>
      </c>
      <c r="F108" s="378">
        <f>('Pivot Table for Data Exchange'!$E$196)*100</f>
        <v>1.4442140606500999</v>
      </c>
      <c r="G108" s="385">
        <f>('Pivot Table for Data Exchange'!$E$199)*100</f>
        <v>3.4891660454656498E-2</v>
      </c>
      <c r="H108" s="378">
        <f>('Pivot Table for Data Exchange'!$E$202)*100</f>
        <v>0</v>
      </c>
      <c r="I108" s="384" t="s">
        <v>890</v>
      </c>
      <c r="J108" s="378">
        <f>('Pivot Table for Data Exchange'!$E$205)*100</f>
        <v>45.975314664219106</v>
      </c>
      <c r="K108" s="378">
        <f>('Pivot Table for Data Exchange'!$E$208)*100</f>
        <v>2.8401614880520665</v>
      </c>
      <c r="L108" s="379">
        <f t="shared" si="19"/>
        <v>51.184523847728833</v>
      </c>
      <c r="M108" s="378">
        <f>('Pivot Table for Data Exchange'!$E$211)*100</f>
        <v>50.491331891322908</v>
      </c>
      <c r="N108" s="378">
        <f>('Pivot Table for Data Exchange'!$E$214)*100</f>
        <v>0.46469534855360362</v>
      </c>
      <c r="O108" s="385">
        <f>('Pivot Table for Data Exchange'!$E$217)*100</f>
        <v>0.22849660785232445</v>
      </c>
      <c r="P108" s="378">
        <f>('Pivot Table for Data Exchange'!$E$220)*100</f>
        <v>0</v>
      </c>
      <c r="Q108" s="383">
        <f t="shared" si="14"/>
        <v>100</v>
      </c>
      <c r="R108" s="383">
        <f t="shared" si="15"/>
        <v>100</v>
      </c>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row>
    <row r="109" spans="1:41" ht="15.75" customHeight="1">
      <c r="A109" s="349" t="s">
        <v>891</v>
      </c>
      <c r="B109" s="378">
        <f>('Pivot Table for Data Exchange'!$E$223)*100</f>
        <v>80.361422086224962</v>
      </c>
      <c r="C109" s="378">
        <f>('Pivot Table for Data Exchange'!$E$226)*100</f>
        <v>0</v>
      </c>
      <c r="D109" s="379">
        <f>SUM(E109:G109)</f>
        <v>19.638577913775027</v>
      </c>
      <c r="E109" s="378">
        <f>('Pivot Table for Data Exchange'!$E$229)*100</f>
        <v>19.638577913775027</v>
      </c>
      <c r="F109" s="378">
        <f>('Pivot Table for Data Exchange'!$E$232)*100</f>
        <v>0</v>
      </c>
      <c r="G109" s="386">
        <f>('Pivot Table for Data Exchange'!$E$235)*100</f>
        <v>0</v>
      </c>
      <c r="H109" s="378">
        <f>('Pivot Table for Data Exchange'!$E$238)*100</f>
        <v>0</v>
      </c>
      <c r="I109" s="384" t="s">
        <v>891</v>
      </c>
      <c r="J109" s="378">
        <f>('Pivot Table for Data Exchange'!$E$241)*100</f>
        <v>61.226579653268374</v>
      </c>
      <c r="K109" s="378">
        <f>('Pivot Table for Data Exchange'!$E$244)*100</f>
        <v>0</v>
      </c>
      <c r="L109" s="379">
        <f>SUM(M109:O109)</f>
        <v>38.773420346731605</v>
      </c>
      <c r="M109" s="378">
        <f>('Pivot Table for Data Exchange'!$E$247)*100</f>
        <v>38.773420346731605</v>
      </c>
      <c r="N109" s="378">
        <f>('Pivot Table for Data Exchange'!$E$250)*100</f>
        <v>0</v>
      </c>
      <c r="O109" s="386">
        <f>('Pivot Table for Data Exchange'!$E$253)*100</f>
        <v>0</v>
      </c>
      <c r="P109" s="378">
        <f>('Pivot Table for Data Exchange'!$E$256)*100</f>
        <v>0</v>
      </c>
      <c r="Q109" s="383">
        <f t="shared" si="14"/>
        <v>99.999999999999986</v>
      </c>
      <c r="R109" s="383">
        <f t="shared" si="15"/>
        <v>99.999999999999972</v>
      </c>
      <c r="S109" s="432"/>
      <c r="T109" s="436"/>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row>
    <row r="110" spans="1:41" ht="15.75" customHeight="1">
      <c r="A110" s="349" t="s">
        <v>892</v>
      </c>
      <c r="B110" s="378">
        <f>('Pivot Table for Data Exchange'!$E$259)*100</f>
        <v>84.56782053963606</v>
      </c>
      <c r="C110" s="378">
        <f>('Pivot Table for Data Exchange'!$E$262)*100</f>
        <v>2.0800107195147457</v>
      </c>
      <c r="D110" s="379">
        <f>SUM(E110:G110)</f>
        <v>13.352168740849194</v>
      </c>
      <c r="E110" s="378">
        <f>('Pivot Table for Data Exchange'!$E$265)*100</f>
        <v>13.335991424388203</v>
      </c>
      <c r="F110" s="390">
        <f>('Pivot Table for Data Exchange'!$E$268)*100</f>
        <v>1.6177316460991426E-2</v>
      </c>
      <c r="G110" s="386">
        <f>('Pivot Table for Data Exchange'!$E$271)*100</f>
        <v>0</v>
      </c>
      <c r="H110" s="378">
        <f>('Pivot Table for Data Exchange'!$E$274)*100</f>
        <v>0</v>
      </c>
      <c r="I110" s="384" t="s">
        <v>892</v>
      </c>
      <c r="J110" s="378">
        <f>('Pivot Table for Data Exchange'!$E$277)*100</f>
        <v>67.918562766065563</v>
      </c>
      <c r="K110" s="378">
        <f>('Pivot Table for Data Exchange'!$E$280)*100</f>
        <v>8.7828453347485862</v>
      </c>
      <c r="L110" s="379">
        <f>SUM(M110:O110)</f>
        <v>23.298591899185855</v>
      </c>
      <c r="M110" s="378">
        <f>('Pivot Table for Data Exchange'!$E$283)*100</f>
        <v>23.285041610677627</v>
      </c>
      <c r="N110" s="378">
        <f>('Pivot Table for Data Exchange'!$E$286)*100</f>
        <v>1.3550288508226154E-2</v>
      </c>
      <c r="O110" s="386">
        <f>('Pivot Table for Data Exchange'!$E$289)*100</f>
        <v>0</v>
      </c>
      <c r="P110" s="378">
        <f>('Pivot Table for Data Exchange'!$E$292)*100</f>
        <v>0</v>
      </c>
      <c r="Q110" s="383">
        <f t="shared" si="14"/>
        <v>100</v>
      </c>
      <c r="R110" s="383">
        <f t="shared" si="15"/>
        <v>100</v>
      </c>
      <c r="S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row>
    <row r="111" spans="1:41" ht="11.25" customHeight="1">
      <c r="B111" s="378"/>
      <c r="C111" s="378"/>
      <c r="D111" s="379"/>
      <c r="E111" s="378"/>
      <c r="F111" s="378"/>
      <c r="G111" s="386"/>
      <c r="H111" s="378"/>
      <c r="I111" s="384"/>
      <c r="J111" s="378"/>
      <c r="K111" s="378"/>
      <c r="L111" s="379"/>
      <c r="M111" s="378"/>
      <c r="N111" s="378"/>
      <c r="O111" s="386"/>
      <c r="P111" s="378"/>
      <c r="Q111" s="383">
        <f t="shared" si="14"/>
        <v>0</v>
      </c>
      <c r="R111" s="383">
        <f t="shared" si="15"/>
        <v>0</v>
      </c>
      <c r="S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row>
    <row r="112" spans="1:41" ht="15.75" customHeight="1">
      <c r="A112" s="349" t="s">
        <v>893</v>
      </c>
      <c r="B112" s="378">
        <f>('Pivot Table for Data Exchange'!$E$295)*100</f>
        <v>0</v>
      </c>
      <c r="C112" s="378">
        <f>('Pivot Table for Data Exchange'!$E$298)*100</f>
        <v>0</v>
      </c>
      <c r="D112" s="379">
        <f>SUM(E112:G112)</f>
        <v>0</v>
      </c>
      <c r="E112" s="378">
        <f>('Pivot Table for Data Exchange'!$E$301)*100</f>
        <v>0</v>
      </c>
      <c r="F112" s="378">
        <f>('Pivot Table for Data Exchange'!$E$304)*100</f>
        <v>0</v>
      </c>
      <c r="G112" s="386">
        <f>('Pivot Table for Data Exchange'!$E$307)*100</f>
        <v>0</v>
      </c>
      <c r="H112" s="378">
        <f>('Pivot Table for Data Exchange'!$E$310)*100</f>
        <v>0</v>
      </c>
      <c r="I112" s="384" t="s">
        <v>893</v>
      </c>
      <c r="J112" s="378">
        <f>('Pivot Table for Data Exchange'!$E$313)*100</f>
        <v>0</v>
      </c>
      <c r="K112" s="378">
        <f>('Pivot Table for Data Exchange'!$E$316)*100</f>
        <v>0</v>
      </c>
      <c r="L112" s="379">
        <f>SUM(M112:O112)</f>
        <v>0</v>
      </c>
      <c r="M112" s="378">
        <f>('Pivot Table for Data Exchange'!$E$319)*100</f>
        <v>0</v>
      </c>
      <c r="N112" s="378">
        <f>('Pivot Table for Data Exchange'!$E$322)*100</f>
        <v>0</v>
      </c>
      <c r="O112" s="386">
        <f>('Pivot Table for Data Exchange'!$E$325)*100</f>
        <v>0</v>
      </c>
      <c r="P112" s="378">
        <f>('Pivot Table for Data Exchange'!$E$328)*100</f>
        <v>0</v>
      </c>
      <c r="Q112" s="383">
        <f t="shared" si="14"/>
        <v>0</v>
      </c>
      <c r="R112" s="383">
        <f t="shared" si="15"/>
        <v>0</v>
      </c>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row>
    <row r="113" spans="1:41" ht="15.75" customHeight="1">
      <c r="A113" s="349" t="s">
        <v>894</v>
      </c>
      <c r="B113" s="378">
        <f>('Pivot Table for Data Exchange'!$E$331)*100</f>
        <v>84.198938658423614</v>
      </c>
      <c r="C113" s="378">
        <f>('Pivot Table for Data Exchange'!$E$334)*100</f>
        <v>0.81136515906820605</v>
      </c>
      <c r="D113" s="379">
        <f>SUM(E113:G113)</f>
        <v>14.989696182508181</v>
      </c>
      <c r="E113" s="378">
        <f>('Pivot Table for Data Exchange'!$E$337)*100</f>
        <v>14.978328120956174</v>
      </c>
      <c r="F113" s="390">
        <f>('Pivot Table for Data Exchange'!$E$340)*100</f>
        <v>1.1368061552006464E-2</v>
      </c>
      <c r="G113" s="385">
        <f>('Pivot Table for Data Exchange'!$E$343)*100</f>
        <v>0</v>
      </c>
      <c r="H113" s="378">
        <f>('Pivot Table for Data Exchange'!$E$346)*100</f>
        <v>0</v>
      </c>
      <c r="I113" s="384" t="s">
        <v>894</v>
      </c>
      <c r="J113" s="378">
        <f>('Pivot Table for Data Exchange'!$E$349)*100</f>
        <v>59.443927945241384</v>
      </c>
      <c r="K113" s="378">
        <f>('Pivot Table for Data Exchange'!$E$352)*100</f>
        <v>5.9095134993479634</v>
      </c>
      <c r="L113" s="379">
        <f>SUM(M113:O113)</f>
        <v>34.646558555410657</v>
      </c>
      <c r="M113" s="378">
        <f>('Pivot Table for Data Exchange'!$E$355)*100</f>
        <v>34.549220987477149</v>
      </c>
      <c r="N113" s="390">
        <f>('Pivot Table for Data Exchange'!$E$358)*100</f>
        <v>9.7337567933510949E-2</v>
      </c>
      <c r="O113" s="386">
        <f>('Pivot Table for Data Exchange'!$E$361)*100</f>
        <v>0</v>
      </c>
      <c r="P113" s="378">
        <f>('Pivot Table for Data Exchange'!$E$364)*100</f>
        <v>0</v>
      </c>
      <c r="Q113" s="383">
        <f t="shared" si="14"/>
        <v>100</v>
      </c>
      <c r="R113" s="383">
        <f t="shared" si="15"/>
        <v>100</v>
      </c>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row>
    <row r="114" spans="1:41" ht="15.75" customHeight="1">
      <c r="A114" s="349" t="s">
        <v>895</v>
      </c>
      <c r="B114" s="378">
        <f>('Pivot Table for Data Exchange'!$E$367)*100</f>
        <v>75.337371487813542</v>
      </c>
      <c r="C114" s="378">
        <f>('Pivot Table for Data Exchange'!$E$370)*100</f>
        <v>0.71765236673610244</v>
      </c>
      <c r="D114" s="379">
        <f>SUM(E114:G114)</f>
        <v>23.871444616167334</v>
      </c>
      <c r="E114" s="378">
        <f>('Pivot Table for Data Exchange'!$E$373)*100</f>
        <v>22.666333886899675</v>
      </c>
      <c r="F114" s="378">
        <f>('Pivot Table for Data Exchange'!$E$376)*100</f>
        <v>0.45078859205360317</v>
      </c>
      <c r="G114" s="386">
        <f>('Pivot Table for Data Exchange'!$E$379)*100</f>
        <v>0.75432213721405739</v>
      </c>
      <c r="H114" s="378">
        <f>('Pivot Table for Data Exchange'!$E$382)*100</f>
        <v>7.3531529283019592E-2</v>
      </c>
      <c r="I114" s="384" t="s">
        <v>895</v>
      </c>
      <c r="J114" s="378">
        <f>('Pivot Table for Data Exchange'!$E$385)*100</f>
        <v>78.228059109749509</v>
      </c>
      <c r="K114" s="378">
        <f>('Pivot Table for Data Exchange'!$E$388)*100</f>
        <v>0.58118579924310687</v>
      </c>
      <c r="L114" s="379">
        <f>SUM(M114:O114)</f>
        <v>21.190755091007389</v>
      </c>
      <c r="M114" s="378">
        <f>('Pivot Table for Data Exchange'!$E$391)*100</f>
        <v>15.694269237700487</v>
      </c>
      <c r="N114" s="378">
        <f>('Pivot Table for Data Exchange'!$E$394)*100</f>
        <v>1.0519913497927553</v>
      </c>
      <c r="O114" s="386">
        <f>('Pivot Table for Data Exchange'!$E$397)*100</f>
        <v>4.4444945035141465</v>
      </c>
      <c r="P114" s="378">
        <f>('Pivot Table for Data Exchange'!$E$400)*100</f>
        <v>0</v>
      </c>
      <c r="Q114" s="383">
        <f t="shared" si="14"/>
        <v>100</v>
      </c>
      <c r="R114" s="383">
        <f t="shared" si="15"/>
        <v>100</v>
      </c>
      <c r="S114" s="432"/>
      <c r="T114" s="436"/>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row>
    <row r="115" spans="1:41" ht="15.75" customHeight="1">
      <c r="A115" s="349" t="s">
        <v>896</v>
      </c>
      <c r="B115" s="378">
        <f>('Pivot Table for Data Exchange'!$E$403)*100</f>
        <v>91.843067511373661</v>
      </c>
      <c r="C115" s="378">
        <f>('Pivot Table for Data Exchange'!$E$406)*100</f>
        <v>1.2427081296283313</v>
      </c>
      <c r="D115" s="379">
        <f>SUM(E115:G115)</f>
        <v>6.9142243589980108</v>
      </c>
      <c r="E115" s="378">
        <f>('Pivot Table for Data Exchange'!$E$409)*100</f>
        <v>6.9142243589980108</v>
      </c>
      <c r="F115" s="390">
        <f>('Pivot Table for Data Exchange'!$E$412)*100</f>
        <v>0</v>
      </c>
      <c r="G115" s="386">
        <f>('Pivot Table for Data Exchange'!$E$415)*100</f>
        <v>0</v>
      </c>
      <c r="H115" s="378">
        <f>('Pivot Table for Data Exchange'!$E$418)*100</f>
        <v>0</v>
      </c>
      <c r="I115" s="384" t="s">
        <v>896</v>
      </c>
      <c r="J115" s="378">
        <f>('Pivot Table for Data Exchange'!$E$421)*100</f>
        <v>59.485008818342152</v>
      </c>
      <c r="K115" s="378">
        <f>('Pivot Table for Data Exchange'!$E$424)*100</f>
        <v>13.9564961787184</v>
      </c>
      <c r="L115" s="379">
        <f>SUM(M115:O115)</f>
        <v>26.558495002939448</v>
      </c>
      <c r="M115" s="378">
        <f>('Pivot Table for Data Exchange'!$E$427)*100</f>
        <v>26.558495002939448</v>
      </c>
      <c r="N115" s="378">
        <f>('Pivot Table for Data Exchange'!$E$430)*100</f>
        <v>0</v>
      </c>
      <c r="O115" s="385">
        <f>('Pivot Table for Data Exchange'!$E$433)*100</f>
        <v>0</v>
      </c>
      <c r="P115" s="378">
        <f>('Pivot Table for Data Exchange'!$E$436)*100</f>
        <v>0</v>
      </c>
      <c r="Q115" s="383">
        <f t="shared" si="14"/>
        <v>100</v>
      </c>
      <c r="R115" s="383">
        <f t="shared" si="15"/>
        <v>100</v>
      </c>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row>
    <row r="116" spans="1:41" ht="11.25" customHeight="1">
      <c r="B116" s="378"/>
      <c r="C116" s="378"/>
      <c r="D116" s="379"/>
      <c r="E116" s="378"/>
      <c r="F116" s="378"/>
      <c r="G116" s="386"/>
      <c r="H116" s="378"/>
      <c r="I116" s="384"/>
      <c r="J116" s="378"/>
      <c r="K116" s="378"/>
      <c r="L116" s="379"/>
      <c r="M116" s="378"/>
      <c r="N116" s="378"/>
      <c r="O116" s="386"/>
      <c r="P116" s="378"/>
      <c r="Q116" s="383">
        <f t="shared" si="14"/>
        <v>0</v>
      </c>
      <c r="R116" s="383">
        <f t="shared" si="15"/>
        <v>0</v>
      </c>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row>
    <row r="117" spans="1:41" ht="15.75" customHeight="1">
      <c r="A117" s="349" t="s">
        <v>897</v>
      </c>
      <c r="B117" s="378">
        <f>('Pivot Table for Data Exchange'!$E$439)*100</f>
        <v>69.138411108629143</v>
      </c>
      <c r="C117" s="378">
        <f>('Pivot Table for Data Exchange'!$E$442)*100</f>
        <v>2.2145569587374481</v>
      </c>
      <c r="D117" s="379">
        <f>SUM(E117:G117)</f>
        <v>27.823780902757935</v>
      </c>
      <c r="E117" s="378">
        <f>('Pivot Table for Data Exchange'!$E$445)*100</f>
        <v>17.125803250925976</v>
      </c>
      <c r="F117" s="378">
        <f>('Pivot Table for Data Exchange'!$E$448)*100</f>
        <v>0</v>
      </c>
      <c r="G117" s="386">
        <f>('Pivot Table for Data Exchange'!$E$451)*100</f>
        <v>10.697977651831959</v>
      </c>
      <c r="H117" s="378">
        <f>('Pivot Table for Data Exchange'!$E$454)*100</f>
        <v>0.82325102987547993</v>
      </c>
      <c r="I117" s="384" t="s">
        <v>897</v>
      </c>
      <c r="J117" s="378">
        <f>('Pivot Table for Data Exchange'!$E$457)*100</f>
        <v>43.463491445657368</v>
      </c>
      <c r="K117" s="378">
        <f>('Pivot Table for Data Exchange'!$E$460)*100</f>
        <v>0.3414660037862034</v>
      </c>
      <c r="L117" s="379">
        <f>SUM(M117:O117)</f>
        <v>53.173156879743814</v>
      </c>
      <c r="M117" s="378">
        <f>('Pivot Table for Data Exchange'!$E$463)*100</f>
        <v>49.792112666088713</v>
      </c>
      <c r="N117" s="378">
        <f>('Pivot Table for Data Exchange'!$E$466)*100</f>
        <v>1.061552343376798E-2</v>
      </c>
      <c r="O117" s="386">
        <f>('Pivot Table for Data Exchange'!$E$469)*100</f>
        <v>3.3704286902213338</v>
      </c>
      <c r="P117" s="378">
        <f>('Pivot Table for Data Exchange'!$E$472)*100</f>
        <v>3.0218856708126181</v>
      </c>
      <c r="Q117" s="383">
        <f t="shared" si="14"/>
        <v>100</v>
      </c>
      <c r="R117" s="383">
        <f t="shared" si="15"/>
        <v>100</v>
      </c>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row>
    <row r="118" spans="1:41" ht="15.75" customHeight="1">
      <c r="A118" s="349" t="s">
        <v>898</v>
      </c>
      <c r="B118" s="378">
        <f>('Pivot Table for Data Exchange'!$E$475)*100</f>
        <v>75.527901208249233</v>
      </c>
      <c r="C118" s="378">
        <f>('Pivot Table for Data Exchange'!$E$478)*100</f>
        <v>2.041876794553219</v>
      </c>
      <c r="D118" s="379">
        <f>SUM(E118:G118)</f>
        <v>22.430221997197556</v>
      </c>
      <c r="E118" s="378">
        <f>('Pivot Table for Data Exchange'!$E$481)*100</f>
        <v>21.207267211117799</v>
      </c>
      <c r="F118" s="378">
        <f>('Pivot Table for Data Exchange'!$E$484)*100</f>
        <v>0.57877232759150332</v>
      </c>
      <c r="G118" s="386">
        <f>('Pivot Table for Data Exchange'!$E$487)*100</f>
        <v>0.64418245848825373</v>
      </c>
      <c r="H118" s="378">
        <f>('Pivot Table for Data Exchange'!$E$490)*100</f>
        <v>0</v>
      </c>
      <c r="I118" s="384" t="s">
        <v>898</v>
      </c>
      <c r="J118" s="378">
        <f>('Pivot Table for Data Exchange'!$E$493)*100</f>
        <v>35.812079334132093</v>
      </c>
      <c r="K118" s="378">
        <f>('Pivot Table for Data Exchange'!$E$496)*100</f>
        <v>2.7828804076836695</v>
      </c>
      <c r="L118" s="379">
        <f>SUM(M118:O118)</f>
        <v>61.405040258184236</v>
      </c>
      <c r="M118" s="378">
        <f>('Pivot Table for Data Exchange'!$E$499)*100</f>
        <v>59.61058462890351</v>
      </c>
      <c r="N118" s="378">
        <f>('Pivot Table for Data Exchange'!$E$502)*100</f>
        <v>0.57536467945929304</v>
      </c>
      <c r="O118" s="386">
        <f>('Pivot Table for Data Exchange'!$E$505)*100</f>
        <v>1.219090949821436</v>
      </c>
      <c r="P118" s="378">
        <f>('Pivot Table for Data Exchange'!$E$508)*100</f>
        <v>0</v>
      </c>
      <c r="Q118" s="383">
        <f t="shared" si="14"/>
        <v>100</v>
      </c>
      <c r="R118" s="383">
        <f t="shared" si="15"/>
        <v>100</v>
      </c>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row>
    <row r="119" spans="1:41" ht="15.75" customHeight="1">
      <c r="A119" s="349" t="s">
        <v>899</v>
      </c>
      <c r="B119" s="378">
        <f>('Pivot Table for Data Exchange'!$E$511)*100</f>
        <v>90.040973204681791</v>
      </c>
      <c r="C119" s="378">
        <f>('Pivot Table for Data Exchange'!$E$514)*100</f>
        <v>1.4754182748046711</v>
      </c>
      <c r="D119" s="379">
        <f>SUM(E119:G119)</f>
        <v>8.4836085205135312</v>
      </c>
      <c r="E119" s="378">
        <f>('Pivot Table for Data Exchange'!$E$517)*100</f>
        <v>8.3595737106097285</v>
      </c>
      <c r="F119" s="378">
        <f>('Pivot Table for Data Exchange'!$E$520)*100</f>
        <v>0.12403480990380338</v>
      </c>
      <c r="G119" s="386">
        <f>('Pivot Table for Data Exchange'!$E$523)*100</f>
        <v>0</v>
      </c>
      <c r="H119" s="378">
        <f>('Pivot Table for Data Exchange'!$E$526)*100</f>
        <v>0</v>
      </c>
      <c r="I119" s="384" t="s">
        <v>899</v>
      </c>
      <c r="J119" s="378">
        <f>('Pivot Table for Data Exchange'!$E$529)*100</f>
        <v>66.527671892781768</v>
      </c>
      <c r="K119" s="378">
        <f>('Pivot Table for Data Exchange'!$E$532)*100</f>
        <v>10.752759455069775</v>
      </c>
      <c r="L119" s="379">
        <f>SUM(M119:O119)</f>
        <v>22.719568652148453</v>
      </c>
      <c r="M119" s="378">
        <f>('Pivot Table for Data Exchange'!$E$535)*100</f>
        <v>20.565039168241132</v>
      </c>
      <c r="N119" s="378">
        <f>('Pivot Table for Data Exchange'!$E$538)*100</f>
        <v>2.1545294839073219</v>
      </c>
      <c r="O119" s="386">
        <f>('Pivot Table for Data Exchange'!$E$541)*100</f>
        <v>0</v>
      </c>
      <c r="P119" s="378">
        <f>('Pivot Table for Data Exchange'!$E$544)*100</f>
        <v>0</v>
      </c>
      <c r="Q119" s="383">
        <f t="shared" si="14"/>
        <v>99.999999999999986</v>
      </c>
      <c r="R119" s="383">
        <f t="shared" si="15"/>
        <v>100</v>
      </c>
      <c r="S119" s="432"/>
      <c r="T119" s="432"/>
      <c r="U119" s="432"/>
      <c r="V119" s="432"/>
      <c r="W119" s="432"/>
      <c r="X119" s="432"/>
      <c r="Y119" s="432"/>
      <c r="Z119" s="432"/>
      <c r="AA119" s="432"/>
      <c r="AB119" s="432"/>
      <c r="AC119" s="432"/>
      <c r="AD119" s="432"/>
      <c r="AE119" s="432"/>
      <c r="AF119" s="432"/>
      <c r="AG119" s="432"/>
      <c r="AH119" s="432"/>
      <c r="AI119" s="432"/>
      <c r="AJ119" s="432"/>
      <c r="AK119" s="432"/>
      <c r="AL119" s="432"/>
      <c r="AM119" s="432"/>
      <c r="AN119" s="432"/>
      <c r="AO119" s="432"/>
    </row>
    <row r="120" spans="1:41" ht="15.75" customHeight="1">
      <c r="A120" s="355" t="s">
        <v>900</v>
      </c>
      <c r="B120" s="391">
        <f>('Pivot Table for Data Exchange'!$E$547)*100</f>
        <v>74.461254725500098</v>
      </c>
      <c r="C120" s="391">
        <f>('Pivot Table for Data Exchange'!$E$550)*100</f>
        <v>8.7982307115416987</v>
      </c>
      <c r="D120" s="392">
        <f>SUM(E120:G120)</f>
        <v>16.740514562958204</v>
      </c>
      <c r="E120" s="391">
        <f>('Pivot Table for Data Exchange'!$E$553)*100</f>
        <v>15.267000321410535</v>
      </c>
      <c r="F120" s="391">
        <f>('Pivot Table for Data Exchange'!$E$556)*100</f>
        <v>1.4735142415476683</v>
      </c>
      <c r="G120" s="393">
        <f>('Pivot Table for Data Exchange'!$E$559)*100</f>
        <v>0</v>
      </c>
      <c r="H120" s="391">
        <f>('Pivot Table for Data Exchange'!$E$562)*100</f>
        <v>0</v>
      </c>
      <c r="I120" s="394" t="s">
        <v>900</v>
      </c>
      <c r="J120" s="391">
        <f>('Pivot Table for Data Exchange'!$E$565)*100</f>
        <v>52.908715311384945</v>
      </c>
      <c r="K120" s="391">
        <f>('Pivot Table for Data Exchange'!$E$568)*100</f>
        <v>23.440186065325108</v>
      </c>
      <c r="L120" s="392">
        <f>SUM(M120:O120)</f>
        <v>23.651098623289947</v>
      </c>
      <c r="M120" s="391">
        <f>('Pivot Table for Data Exchange'!$E$571)*100</f>
        <v>22.634095604062235</v>
      </c>
      <c r="N120" s="391">
        <f>('Pivot Table for Data Exchange'!$E$574)*100</f>
        <v>1.0170030192277133</v>
      </c>
      <c r="O120" s="393">
        <f>('Pivot Table for Data Exchange'!$E$577)*100</f>
        <v>0</v>
      </c>
      <c r="P120" s="391">
        <f>('Pivot Table for Data Exchange'!$E$580)*100</f>
        <v>0</v>
      </c>
      <c r="Q120" s="383">
        <f t="shared" si="14"/>
        <v>100</v>
      </c>
      <c r="R120" s="383">
        <f t="shared" si="15"/>
        <v>100</v>
      </c>
      <c r="S120" s="432"/>
      <c r="T120" s="432"/>
      <c r="U120" s="432"/>
      <c r="V120" s="432"/>
      <c r="W120" s="432"/>
      <c r="X120" s="432"/>
      <c r="Y120" s="432"/>
      <c r="Z120" s="432"/>
      <c r="AA120" s="432"/>
      <c r="AB120" s="432"/>
      <c r="AC120" s="432"/>
      <c r="AD120" s="432"/>
      <c r="AE120" s="432"/>
      <c r="AF120" s="432"/>
      <c r="AG120" s="432"/>
      <c r="AH120" s="432"/>
      <c r="AI120" s="432"/>
      <c r="AJ120" s="432"/>
      <c r="AK120" s="432"/>
      <c r="AL120" s="432"/>
      <c r="AM120" s="432"/>
      <c r="AN120" s="432"/>
      <c r="AO120" s="432"/>
    </row>
    <row r="121" spans="1:41" s="422" customFormat="1" ht="13.5" customHeight="1">
      <c r="A121" s="397" t="s">
        <v>926</v>
      </c>
      <c r="B121" s="398"/>
      <c r="C121" s="398"/>
      <c r="D121" s="399"/>
      <c r="E121" s="398"/>
      <c r="F121" s="399"/>
      <c r="G121" s="399"/>
      <c r="H121" s="398"/>
      <c r="I121" s="397" t="s">
        <v>926</v>
      </c>
      <c r="J121" s="398"/>
      <c r="K121" s="398"/>
      <c r="L121" s="399"/>
      <c r="M121" s="398"/>
      <c r="N121" s="399"/>
      <c r="O121" s="399"/>
      <c r="P121" s="398"/>
      <c r="Q121" s="383">
        <f t="shared" si="14"/>
        <v>0</v>
      </c>
      <c r="R121" s="383">
        <f t="shared" si="15"/>
        <v>0</v>
      </c>
      <c r="S121" s="435"/>
      <c r="T121" s="435"/>
      <c r="U121" s="435"/>
      <c r="V121" s="435"/>
      <c r="W121" s="435"/>
      <c r="X121" s="435"/>
      <c r="Y121" s="435"/>
      <c r="Z121" s="435"/>
      <c r="AA121" s="435"/>
      <c r="AB121" s="435"/>
      <c r="AC121" s="435"/>
      <c r="AD121" s="435"/>
      <c r="AE121" s="435"/>
      <c r="AF121" s="435"/>
      <c r="AG121" s="435"/>
      <c r="AH121" s="435"/>
      <c r="AI121" s="435"/>
      <c r="AJ121" s="435"/>
      <c r="AK121" s="435"/>
      <c r="AL121" s="435"/>
      <c r="AM121" s="435"/>
      <c r="AN121" s="435"/>
      <c r="AO121" s="435"/>
    </row>
    <row r="122" spans="1:41" s="422" customFormat="1" ht="26.25" customHeight="1">
      <c r="A122" s="501" t="s">
        <v>932</v>
      </c>
      <c r="B122" s="502"/>
      <c r="C122" s="502"/>
      <c r="D122" s="502"/>
      <c r="E122" s="502"/>
      <c r="F122" s="502"/>
      <c r="G122" s="502"/>
      <c r="H122" s="502"/>
      <c r="I122" s="501" t="s">
        <v>932</v>
      </c>
      <c r="J122" s="502"/>
      <c r="K122" s="502"/>
      <c r="L122" s="502"/>
      <c r="M122" s="502"/>
      <c r="N122" s="502"/>
      <c r="O122" s="502"/>
      <c r="P122" s="502"/>
      <c r="Q122" s="383">
        <f t="shared" si="14"/>
        <v>0</v>
      </c>
      <c r="R122" s="383">
        <f t="shared" si="15"/>
        <v>0</v>
      </c>
      <c r="S122" s="435"/>
      <c r="T122" s="435"/>
      <c r="U122" s="435"/>
      <c r="V122" s="435"/>
      <c r="W122" s="435"/>
      <c r="X122" s="435"/>
      <c r="Y122" s="435"/>
      <c r="Z122" s="435"/>
      <c r="AA122" s="435"/>
      <c r="AB122" s="435"/>
      <c r="AC122" s="435"/>
      <c r="AD122" s="435"/>
      <c r="AE122" s="435"/>
      <c r="AF122" s="435"/>
      <c r="AG122" s="435"/>
      <c r="AH122" s="435"/>
      <c r="AI122" s="435"/>
      <c r="AJ122" s="435"/>
      <c r="AK122" s="435"/>
      <c r="AL122" s="435"/>
      <c r="AM122" s="435"/>
      <c r="AN122" s="435"/>
      <c r="AO122" s="435"/>
    </row>
    <row r="123" spans="1:41" s="422" customFormat="1" ht="13.5" customHeight="1">
      <c r="A123" s="407"/>
      <c r="B123" s="408"/>
      <c r="C123" s="396"/>
      <c r="D123" s="396"/>
      <c r="E123" s="396"/>
      <c r="F123" s="396"/>
      <c r="G123" s="396"/>
      <c r="H123" s="396"/>
      <c r="I123" s="407"/>
      <c r="J123" s="396"/>
      <c r="K123" s="396"/>
      <c r="L123" s="396"/>
      <c r="M123" s="396"/>
      <c r="N123" s="396"/>
      <c r="O123" s="396"/>
      <c r="P123" s="409"/>
      <c r="Q123" s="383">
        <f t="shared" si="14"/>
        <v>0</v>
      </c>
      <c r="R123" s="383">
        <f t="shared" si="15"/>
        <v>0</v>
      </c>
    </row>
    <row r="124" spans="1:41" s="422" customFormat="1" ht="13.5" customHeight="1">
      <c r="A124" s="396"/>
      <c r="B124" s="396"/>
      <c r="C124" s="396"/>
      <c r="D124" s="396"/>
      <c r="E124" s="396"/>
      <c r="F124" s="396"/>
      <c r="G124" s="396"/>
      <c r="H124" s="402" t="s">
        <v>1007</v>
      </c>
      <c r="I124" s="407"/>
      <c r="J124" s="396"/>
      <c r="K124" s="396"/>
      <c r="L124" s="396"/>
      <c r="M124" s="396"/>
      <c r="N124" s="396"/>
      <c r="O124" s="396"/>
      <c r="P124" s="402" t="s">
        <v>1007</v>
      </c>
      <c r="Q124" s="383">
        <f t="shared" si="14"/>
        <v>0</v>
      </c>
      <c r="R124" s="383">
        <f t="shared" si="15"/>
        <v>0</v>
      </c>
    </row>
    <row r="125" spans="1:41" ht="18">
      <c r="A125" s="344" t="s">
        <v>933</v>
      </c>
      <c r="B125" s="345"/>
      <c r="C125" s="345"/>
      <c r="D125" s="345"/>
      <c r="E125" s="345"/>
      <c r="F125" s="345"/>
      <c r="G125" s="345"/>
      <c r="H125" s="345"/>
      <c r="I125" s="344" t="s">
        <v>934</v>
      </c>
      <c r="J125" s="346"/>
      <c r="K125" s="346"/>
      <c r="L125" s="345"/>
      <c r="M125" s="346"/>
      <c r="N125" s="346"/>
      <c r="O125" s="346"/>
      <c r="P125" s="346"/>
      <c r="Q125" s="383">
        <f t="shared" si="14"/>
        <v>0</v>
      </c>
      <c r="R125" s="383">
        <f t="shared" si="15"/>
        <v>0</v>
      </c>
    </row>
    <row r="126" spans="1:41">
      <c r="A126" s="350"/>
      <c r="B126" s="346"/>
      <c r="C126" s="346"/>
      <c r="D126" s="346"/>
      <c r="E126" s="346"/>
      <c r="F126" s="346"/>
      <c r="G126" s="346"/>
      <c r="H126" s="346"/>
      <c r="I126" s="350"/>
      <c r="J126" s="346"/>
      <c r="K126" s="346"/>
      <c r="L126" s="346"/>
      <c r="M126" s="346"/>
      <c r="N126" s="346"/>
      <c r="O126" s="346"/>
      <c r="P126" s="346"/>
      <c r="Q126" s="383">
        <f t="shared" si="14"/>
        <v>0</v>
      </c>
      <c r="R126" s="383">
        <f t="shared" si="15"/>
        <v>0</v>
      </c>
    </row>
    <row r="127" spans="1:41" ht="15.75">
      <c r="A127" s="352" t="s">
        <v>906</v>
      </c>
      <c r="B127" s="346"/>
      <c r="C127" s="346"/>
      <c r="D127" s="346"/>
      <c r="E127" s="346"/>
      <c r="F127" s="346"/>
      <c r="G127" s="346"/>
      <c r="H127" s="346"/>
      <c r="I127" s="352" t="s">
        <v>907</v>
      </c>
      <c r="J127" s="346"/>
      <c r="K127" s="346"/>
      <c r="L127" s="346"/>
      <c r="M127" s="346"/>
      <c r="N127" s="346"/>
      <c r="O127" s="346"/>
      <c r="P127" s="346"/>
      <c r="Q127" s="383">
        <f t="shared" si="14"/>
        <v>0</v>
      </c>
      <c r="R127" s="383">
        <f t="shared" si="15"/>
        <v>0</v>
      </c>
    </row>
    <row r="128" spans="1:41" ht="15.75">
      <c r="A128" s="352" t="s">
        <v>970</v>
      </c>
      <c r="B128" s="346"/>
      <c r="C128" s="346"/>
      <c r="D128" s="346"/>
      <c r="E128" s="346"/>
      <c r="F128" s="346"/>
      <c r="G128" s="346"/>
      <c r="H128" s="346"/>
      <c r="I128" s="352" t="s">
        <v>970</v>
      </c>
      <c r="J128" s="346"/>
      <c r="K128" s="346"/>
      <c r="L128" s="346"/>
      <c r="M128" s="346"/>
      <c r="N128" s="346"/>
      <c r="O128" s="346"/>
      <c r="P128" s="346"/>
      <c r="Q128" s="383">
        <f t="shared" si="14"/>
        <v>0</v>
      </c>
      <c r="R128" s="383">
        <f t="shared" si="15"/>
        <v>0</v>
      </c>
    </row>
    <row r="129" spans="1:41">
      <c r="A129" s="355"/>
      <c r="B129" s="356"/>
      <c r="C129" s="356"/>
      <c r="D129" s="356"/>
      <c r="E129" s="356"/>
      <c r="F129" s="356"/>
      <c r="G129" s="356"/>
      <c r="H129" s="356"/>
      <c r="I129" s="357"/>
      <c r="L129" s="358"/>
      <c r="P129" s="355"/>
      <c r="Q129" s="383">
        <f t="shared" si="14"/>
        <v>0</v>
      </c>
      <c r="R129" s="383">
        <f t="shared" si="15"/>
        <v>0</v>
      </c>
    </row>
    <row r="130" spans="1:41" s="376" customFormat="1">
      <c r="A130" s="360"/>
      <c r="B130" s="361" t="s">
        <v>908</v>
      </c>
      <c r="C130" s="361"/>
      <c r="D130" s="361"/>
      <c r="E130" s="361"/>
      <c r="F130" s="361"/>
      <c r="G130" s="361"/>
      <c r="H130" s="362"/>
      <c r="I130" s="360"/>
      <c r="J130" s="361" t="s">
        <v>908</v>
      </c>
      <c r="K130" s="361"/>
      <c r="L130" s="361"/>
      <c r="M130" s="361"/>
      <c r="N130" s="361"/>
      <c r="O130" s="361"/>
      <c r="P130" s="362"/>
      <c r="Q130" s="383">
        <f t="shared" si="14"/>
        <v>0</v>
      </c>
      <c r="R130" s="383">
        <f t="shared" si="15"/>
        <v>0</v>
      </c>
    </row>
    <row r="131" spans="1:41" s="376" customFormat="1">
      <c r="A131" s="360"/>
      <c r="B131" s="361" t="s">
        <v>909</v>
      </c>
      <c r="C131" s="361"/>
      <c r="D131" s="506" t="s">
        <v>910</v>
      </c>
      <c r="E131" s="504"/>
      <c r="F131" s="504"/>
      <c r="G131" s="504"/>
      <c r="H131" s="368" t="s">
        <v>800</v>
      </c>
      <c r="I131" s="360"/>
      <c r="J131" s="361" t="s">
        <v>909</v>
      </c>
      <c r="K131" s="361"/>
      <c r="L131" s="506" t="s">
        <v>910</v>
      </c>
      <c r="M131" s="504"/>
      <c r="N131" s="504"/>
      <c r="O131" s="504"/>
      <c r="P131" s="368" t="s">
        <v>800</v>
      </c>
      <c r="Q131" s="383">
        <f t="shared" si="14"/>
        <v>0</v>
      </c>
      <c r="R131" s="383">
        <f t="shared" si="15"/>
        <v>0</v>
      </c>
    </row>
    <row r="132" spans="1:41" s="376" customFormat="1" ht="40.5" customHeight="1">
      <c r="A132" s="360"/>
      <c r="B132" s="369" t="s">
        <v>911</v>
      </c>
      <c r="C132" s="370" t="s">
        <v>912</v>
      </c>
      <c r="D132" s="371" t="s">
        <v>913</v>
      </c>
      <c r="E132" s="372" t="s">
        <v>10</v>
      </c>
      <c r="F132" s="369" t="s">
        <v>914</v>
      </c>
      <c r="G132" s="373" t="s">
        <v>924</v>
      </c>
      <c r="H132" s="374" t="s">
        <v>916</v>
      </c>
      <c r="I132" s="360"/>
      <c r="J132" s="369" t="s">
        <v>911</v>
      </c>
      <c r="K132" s="370" t="s">
        <v>912</v>
      </c>
      <c r="L132" s="371" t="s">
        <v>913</v>
      </c>
      <c r="M132" s="372" t="s">
        <v>10</v>
      </c>
      <c r="N132" s="369" t="s">
        <v>914</v>
      </c>
      <c r="O132" s="373" t="s">
        <v>924</v>
      </c>
      <c r="P132" s="374" t="s">
        <v>916</v>
      </c>
      <c r="Q132" s="383">
        <f t="shared" si="14"/>
        <v>0</v>
      </c>
      <c r="R132" s="383">
        <f t="shared" si="15"/>
        <v>0</v>
      </c>
      <c r="T132" s="375"/>
    </row>
    <row r="133" spans="1:41" ht="15.75" customHeight="1">
      <c r="A133" s="404" t="s">
        <v>885</v>
      </c>
      <c r="B133" s="431">
        <f>('Pivot Table for Data Exchange'!$F$7)*100</f>
        <v>82.761023150449404</v>
      </c>
      <c r="C133" s="378">
        <f>('Pivot Table for Data Exchange'!$F$10)*100</f>
        <v>0.11082228505773352</v>
      </c>
      <c r="D133" s="379">
        <f>SUM(E133:G133)</f>
        <v>17.128154564492863</v>
      </c>
      <c r="E133" s="378">
        <f>('Pivot Table for Data Exchange'!$F$13)*100</f>
        <v>17.128154564492863</v>
      </c>
      <c r="F133" s="378">
        <f>('Pivot Table for Data Exchange'!$F$16)*100</f>
        <v>0</v>
      </c>
      <c r="G133" s="382">
        <f>('Pivot Table for Data Exchange'!$F$19)*100</f>
        <v>0</v>
      </c>
      <c r="H133" s="378">
        <f>('Pivot Table for Data Exchange'!$F$22)*100</f>
        <v>0</v>
      </c>
      <c r="I133" s="381" t="s">
        <v>885</v>
      </c>
      <c r="J133" s="378">
        <f>('Pivot Table for Data Exchange'!$F$25)*100</f>
        <v>64.682755447739353</v>
      </c>
      <c r="K133" s="378">
        <f>('Pivot Table for Data Exchange'!$F$28)*100</f>
        <v>0</v>
      </c>
      <c r="L133" s="379">
        <f>SUM(M133:O133)</f>
        <v>35.317244552260654</v>
      </c>
      <c r="M133" s="378">
        <f>('Pivot Table for Data Exchange'!$F$31)*100</f>
        <v>35.317244552260654</v>
      </c>
      <c r="N133" s="378">
        <f>('Pivot Table for Data Exchange'!$F$34)*100</f>
        <v>0</v>
      </c>
      <c r="O133" s="382">
        <f>('Pivot Table for Data Exchange'!$F$37)*100</f>
        <v>0</v>
      </c>
      <c r="P133" s="378">
        <f>('Pivot Table for Data Exchange'!$F$40)*100</f>
        <v>0</v>
      </c>
      <c r="Q133" s="383">
        <f t="shared" si="14"/>
        <v>100</v>
      </c>
      <c r="R133" s="383">
        <f t="shared" si="15"/>
        <v>100</v>
      </c>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row>
    <row r="134" spans="1:41" ht="15.75" customHeight="1">
      <c r="A134" s="349" t="s">
        <v>886</v>
      </c>
      <c r="B134" s="378">
        <f>('Pivot Table for Data Exchange'!$F$43)*100</f>
        <v>79.209699900918608</v>
      </c>
      <c r="C134" s="378">
        <f>('Pivot Table for Data Exchange'!$F$46)*100</f>
        <v>2.3997850437469563</v>
      </c>
      <c r="D134" s="379">
        <f t="shared" ref="D134:D136" si="20">SUM(E134:G134)</f>
        <v>18.39051505533444</v>
      </c>
      <c r="E134" s="378">
        <f>('Pivot Table for Data Exchange'!$F$49)*100</f>
        <v>18.39051505533444</v>
      </c>
      <c r="F134" s="390">
        <f>('Pivot Table for Data Exchange'!$F$52)*100</f>
        <v>0</v>
      </c>
      <c r="G134" s="386">
        <f>('Pivot Table for Data Exchange'!$F$55)*100</f>
        <v>0</v>
      </c>
      <c r="H134" s="378">
        <f>('Pivot Table for Data Exchange'!$F$58)*100</f>
        <v>0</v>
      </c>
      <c r="I134" s="384" t="s">
        <v>886</v>
      </c>
      <c r="J134" s="378">
        <f>('Pivot Table for Data Exchange'!$F$61)*100</f>
        <v>13.367309549981679</v>
      </c>
      <c r="K134" s="378">
        <f>('Pivot Table for Data Exchange'!$F$64)*100</f>
        <v>14.123446920488991</v>
      </c>
      <c r="L134" s="379">
        <f t="shared" ref="L134:L136" si="21">SUM(M134:O134)</f>
        <v>72.509243529529328</v>
      </c>
      <c r="M134" s="378">
        <f>('Pivot Table for Data Exchange'!$F$67)*100</f>
        <v>72.509243529529328</v>
      </c>
      <c r="N134" s="378">
        <f>('Pivot Table for Data Exchange'!$F$70)*100</f>
        <v>0</v>
      </c>
      <c r="O134" s="386">
        <f>('Pivot Table for Data Exchange'!$F$73)*100</f>
        <v>0</v>
      </c>
      <c r="P134" s="378">
        <f>('Pivot Table for Data Exchange'!$F$76)*100</f>
        <v>0</v>
      </c>
      <c r="Q134" s="383">
        <f t="shared" si="14"/>
        <v>100</v>
      </c>
      <c r="R134" s="383">
        <f t="shared" si="15"/>
        <v>100</v>
      </c>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row>
    <row r="135" spans="1:41" ht="15.75" customHeight="1">
      <c r="A135" s="349" t="s">
        <v>887</v>
      </c>
      <c r="B135" s="378">
        <f>('Pivot Table for Data Exchange'!$F$79)*100</f>
        <v>0</v>
      </c>
      <c r="C135" s="378">
        <f>('Pivot Table for Data Exchange'!$F$82)*100</f>
        <v>0</v>
      </c>
      <c r="D135" s="379">
        <f t="shared" si="20"/>
        <v>0</v>
      </c>
      <c r="E135" s="378">
        <f>('Pivot Table for Data Exchange'!$F$85)*100</f>
        <v>0</v>
      </c>
      <c r="F135" s="378">
        <f>('Pivot Table for Data Exchange'!$F$88)*100</f>
        <v>0</v>
      </c>
      <c r="G135" s="386">
        <f>('Pivot Table for Data Exchange'!$F$91)*100</f>
        <v>0</v>
      </c>
      <c r="H135" s="378">
        <f>('Pivot Table for Data Exchange'!$F$94)*100</f>
        <v>0</v>
      </c>
      <c r="I135" s="384" t="s">
        <v>887</v>
      </c>
      <c r="J135" s="378">
        <f>('Pivot Table for Data Exchange'!$F$97)*100</f>
        <v>0</v>
      </c>
      <c r="K135" s="378">
        <f>('Pivot Table for Data Exchange'!$F$100)*100</f>
        <v>0</v>
      </c>
      <c r="L135" s="379">
        <f t="shared" si="21"/>
        <v>0</v>
      </c>
      <c r="M135" s="378">
        <f>('Pivot Table for Data Exchange'!$F$103)*100</f>
        <v>0</v>
      </c>
      <c r="N135" s="378">
        <f>('Pivot Table for Data Exchange'!$F$106)*100</f>
        <v>0</v>
      </c>
      <c r="O135" s="386">
        <f>('Pivot Table for Data Exchange'!$F$109)*100</f>
        <v>0</v>
      </c>
      <c r="P135" s="378">
        <f>('Pivot Table for Data Exchange'!$F$112)*100</f>
        <v>0</v>
      </c>
      <c r="Q135" s="383">
        <f t="shared" si="14"/>
        <v>0</v>
      </c>
      <c r="R135" s="383">
        <f t="shared" si="15"/>
        <v>0</v>
      </c>
      <c r="S135" s="432"/>
      <c r="T135" s="436"/>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row>
    <row r="136" spans="1:41" ht="15.75" customHeight="1">
      <c r="A136" s="349" t="s">
        <v>925</v>
      </c>
      <c r="B136" s="378">
        <f>('Pivot Table for Data Exchange'!$F$115)*100</f>
        <v>0</v>
      </c>
      <c r="C136" s="378">
        <f>('Pivot Table for Data Exchange'!$F$118)*100</f>
        <v>0</v>
      </c>
      <c r="D136" s="379">
        <f t="shared" si="20"/>
        <v>0</v>
      </c>
      <c r="E136" s="378">
        <f>('Pivot Table for Data Exchange'!$F$121)*100</f>
        <v>0</v>
      </c>
      <c r="F136" s="387">
        <f>('Pivot Table for Data Exchange'!$F$124)*100</f>
        <v>0</v>
      </c>
      <c r="G136" s="389">
        <f>('Pivot Table for Data Exchange'!$F$127)*100</f>
        <v>0</v>
      </c>
      <c r="H136" s="378">
        <f>('Pivot Table for Data Exchange'!$F$130)*100</f>
        <v>0</v>
      </c>
      <c r="I136" s="384" t="s">
        <v>925</v>
      </c>
      <c r="J136" s="378">
        <f>('Pivot Table for Data Exchange'!$F$133)*100</f>
        <v>0</v>
      </c>
      <c r="K136" s="378">
        <f>('Pivot Table for Data Exchange'!$F$136)*100</f>
        <v>0</v>
      </c>
      <c r="L136" s="379">
        <f t="shared" si="21"/>
        <v>0</v>
      </c>
      <c r="M136" s="378">
        <f>('Pivot Table for Data Exchange'!$F$139)*100</f>
        <v>0</v>
      </c>
      <c r="N136" s="378">
        <f>('Pivot Table for Data Exchange'!$F$142)*100</f>
        <v>0</v>
      </c>
      <c r="O136" s="386">
        <f>('Pivot Table for Data Exchange'!$F$145)*100</f>
        <v>0</v>
      </c>
      <c r="P136" s="378">
        <f>('Pivot Table for Data Exchange'!$F$148)*100</f>
        <v>0</v>
      </c>
      <c r="Q136" s="383">
        <f t="shared" si="14"/>
        <v>0</v>
      </c>
      <c r="R136" s="383">
        <f t="shared" si="15"/>
        <v>0</v>
      </c>
      <c r="S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row>
    <row r="137" spans="1:41" ht="15.75" customHeight="1">
      <c r="B137" s="378"/>
      <c r="C137" s="378"/>
      <c r="D137" s="379"/>
      <c r="E137" s="378"/>
      <c r="F137" s="378"/>
      <c r="G137" s="386"/>
      <c r="H137" s="378"/>
      <c r="I137" s="384"/>
      <c r="J137" s="378"/>
      <c r="K137" s="378"/>
      <c r="L137" s="379"/>
      <c r="M137" s="378"/>
      <c r="N137" s="378"/>
      <c r="O137" s="386"/>
      <c r="P137" s="378"/>
      <c r="Q137" s="383">
        <f t="shared" si="14"/>
        <v>0</v>
      </c>
      <c r="R137" s="383">
        <f t="shared" si="15"/>
        <v>0</v>
      </c>
      <c r="S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row>
    <row r="138" spans="1:41" ht="15.75" customHeight="1">
      <c r="A138" s="349" t="s">
        <v>889</v>
      </c>
      <c r="B138" s="378">
        <f>('Pivot Table for Data Exchange'!$F$151)*100</f>
        <v>80.403629593830544</v>
      </c>
      <c r="C138" s="378">
        <f>('Pivot Table for Data Exchange'!$F$154)*100</f>
        <v>1.9968417414982957</v>
      </c>
      <c r="D138" s="379">
        <f t="shared" ref="D138:D139" si="22">SUM(E138:G138)</f>
        <v>17.599528664671155</v>
      </c>
      <c r="E138" s="378">
        <f>('Pivot Table for Data Exchange'!$F$157)*100</f>
        <v>17.515278124220504</v>
      </c>
      <c r="F138" s="390">
        <f>('Pivot Table for Data Exchange'!$F$160)*100</f>
        <v>1.6109586763116322E-2</v>
      </c>
      <c r="G138" s="386">
        <f>('Pivot Table for Data Exchange'!$F$163)*100</f>
        <v>6.8140953687536379E-2</v>
      </c>
      <c r="H138" s="387">
        <f>('Pivot Table for Data Exchange'!$F$166)*100</f>
        <v>0</v>
      </c>
      <c r="I138" s="384" t="s">
        <v>889</v>
      </c>
      <c r="J138" s="378">
        <f>('Pivot Table for Data Exchange'!$F$169)*100</f>
        <v>74.849709713281825</v>
      </c>
      <c r="K138" s="378">
        <f>('Pivot Table for Data Exchange'!$F$172)*100</f>
        <v>6.8515900575083375</v>
      </c>
      <c r="L138" s="379">
        <f t="shared" ref="L138:L139" si="23">SUM(M138:O138)</f>
        <v>21.402297588492839</v>
      </c>
      <c r="M138" s="378">
        <f>('Pivot Table for Data Exchange'!$F$175)*100</f>
        <v>21.38891557666177</v>
      </c>
      <c r="N138" s="387">
        <f>('Pivot Table for Data Exchange'!$F$178)*100</f>
        <v>0</v>
      </c>
      <c r="O138" s="386">
        <f>('Pivot Table for Data Exchange'!$F$181)*100</f>
        <v>1.3382011831070972E-2</v>
      </c>
      <c r="P138" s="378">
        <f>('Pivot Table for Data Exchange'!$F$184)*100</f>
        <v>0</v>
      </c>
      <c r="Q138" s="383">
        <f t="shared" si="14"/>
        <v>100</v>
      </c>
      <c r="R138" s="383">
        <f t="shared" si="15"/>
        <v>103.103597359283</v>
      </c>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row>
    <row r="139" spans="1:41" ht="15.75" customHeight="1">
      <c r="A139" s="349" t="s">
        <v>890</v>
      </c>
      <c r="B139" s="378">
        <f>('Pivot Table for Data Exchange'!$F$187)*100</f>
        <v>68.889543046057696</v>
      </c>
      <c r="C139" s="378">
        <f>('Pivot Table for Data Exchange'!$F$190)*100</f>
        <v>0.48231511254019299</v>
      </c>
      <c r="D139" s="379">
        <f t="shared" si="22"/>
        <v>30.628141841402112</v>
      </c>
      <c r="E139" s="378">
        <f>('Pivot Table for Data Exchange'!$F$193)*100</f>
        <v>30.625877451202392</v>
      </c>
      <c r="F139" s="378">
        <f>('Pivot Table for Data Exchange'!$F$196)*100</f>
        <v>2.2643901997192158E-3</v>
      </c>
      <c r="G139" s="389">
        <f>('Pivot Table for Data Exchange'!$F$199)*100</f>
        <v>0</v>
      </c>
      <c r="H139" s="378">
        <f>('Pivot Table for Data Exchange'!$F$202)*100</f>
        <v>0</v>
      </c>
      <c r="I139" s="384" t="s">
        <v>890</v>
      </c>
      <c r="J139" s="378">
        <f>('Pivot Table for Data Exchange'!$F$205)*100</f>
        <v>80.883567299752272</v>
      </c>
      <c r="K139" s="378">
        <f>('Pivot Table for Data Exchange'!$F$208)*100</f>
        <v>0</v>
      </c>
      <c r="L139" s="379">
        <f t="shared" si="23"/>
        <v>19.116432700247728</v>
      </c>
      <c r="M139" s="378">
        <f>('Pivot Table for Data Exchange'!$F$211)*100</f>
        <v>19.116432700247728</v>
      </c>
      <c r="N139" s="378">
        <f>('Pivot Table for Data Exchange'!$F$214)*100</f>
        <v>0</v>
      </c>
      <c r="O139" s="386">
        <f>('Pivot Table for Data Exchange'!$F$217)*100</f>
        <v>0</v>
      </c>
      <c r="P139" s="378">
        <f>('Pivot Table for Data Exchange'!$F$220)*100</f>
        <v>0</v>
      </c>
      <c r="Q139" s="383">
        <f t="shared" si="14"/>
        <v>100</v>
      </c>
      <c r="R139" s="383">
        <f t="shared" si="15"/>
        <v>100</v>
      </c>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row>
    <row r="140" spans="1:41" ht="15.75" customHeight="1">
      <c r="A140" s="349" t="s">
        <v>891</v>
      </c>
      <c r="B140" s="378">
        <f>('Pivot Table for Data Exchange'!$F$223)*100</f>
        <v>71.31514311546475</v>
      </c>
      <c r="C140" s="378">
        <f>('Pivot Table for Data Exchange'!$F$226)*100</f>
        <v>0</v>
      </c>
      <c r="D140" s="379">
        <f>SUM(E140:G140)</f>
        <v>28.684856884535247</v>
      </c>
      <c r="E140" s="378">
        <f>('Pivot Table for Data Exchange'!$F$229)*100</f>
        <v>28.684856884535247</v>
      </c>
      <c r="F140" s="378">
        <f>('Pivot Table for Data Exchange'!$F$232)*100</f>
        <v>0</v>
      </c>
      <c r="G140" s="386">
        <f>('Pivot Table for Data Exchange'!$F$235)*100</f>
        <v>0</v>
      </c>
      <c r="H140" s="378">
        <f>('Pivot Table for Data Exchange'!$F$238)*100</f>
        <v>0</v>
      </c>
      <c r="I140" s="384" t="s">
        <v>891</v>
      </c>
      <c r="J140" s="378">
        <f>('Pivot Table for Data Exchange'!$F$241)*100</f>
        <v>44.19509581043404</v>
      </c>
      <c r="K140" s="378">
        <f>('Pivot Table for Data Exchange'!$F$244)*100</f>
        <v>0</v>
      </c>
      <c r="L140" s="379">
        <f>SUM(M140:O140)</f>
        <v>55.804904189565953</v>
      </c>
      <c r="M140" s="378">
        <f>('Pivot Table for Data Exchange'!$F$247)*100</f>
        <v>55.804904189565953</v>
      </c>
      <c r="N140" s="378">
        <f>('Pivot Table for Data Exchange'!$F$250)*100</f>
        <v>0</v>
      </c>
      <c r="O140" s="386">
        <f>('Pivot Table for Data Exchange'!$F$253)*100</f>
        <v>0</v>
      </c>
      <c r="P140" s="378">
        <f>('Pivot Table for Data Exchange'!$F$256)*100</f>
        <v>0</v>
      </c>
      <c r="Q140" s="383">
        <f t="shared" si="14"/>
        <v>100</v>
      </c>
      <c r="R140" s="383">
        <f t="shared" si="15"/>
        <v>100</v>
      </c>
      <c r="S140" s="432"/>
      <c r="T140" s="436"/>
      <c r="U140" s="432"/>
      <c r="V140" s="432"/>
      <c r="W140" s="432"/>
      <c r="X140" s="432"/>
      <c r="Y140" s="432"/>
      <c r="Z140" s="432"/>
      <c r="AA140" s="432"/>
      <c r="AB140" s="432"/>
      <c r="AC140" s="432"/>
      <c r="AD140" s="432"/>
      <c r="AE140" s="432"/>
      <c r="AF140" s="432"/>
      <c r="AG140" s="432"/>
      <c r="AH140" s="432"/>
      <c r="AI140" s="432"/>
      <c r="AJ140" s="432"/>
      <c r="AK140" s="432"/>
      <c r="AL140" s="432"/>
      <c r="AM140" s="432"/>
      <c r="AN140" s="432"/>
      <c r="AO140" s="432"/>
    </row>
    <row r="141" spans="1:41" ht="15.75" customHeight="1">
      <c r="A141" s="349" t="s">
        <v>892</v>
      </c>
      <c r="B141" s="378">
        <f>('Pivot Table for Data Exchange'!$F$259)*100</f>
        <v>83.726168573294473</v>
      </c>
      <c r="C141" s="378">
        <f>('Pivot Table for Data Exchange'!$F$262)*100</f>
        <v>1.2941992930500306</v>
      </c>
      <c r="D141" s="379">
        <f>SUM(E141:G141)</f>
        <v>14.979632133655493</v>
      </c>
      <c r="E141" s="378">
        <f>('Pivot Table for Data Exchange'!$F$265)*100</f>
        <v>14.005316618439698</v>
      </c>
      <c r="F141" s="378">
        <f>('Pivot Table for Data Exchange'!$F$268)*100</f>
        <v>0.97431551521579374</v>
      </c>
      <c r="G141" s="386">
        <f>('Pivot Table for Data Exchange'!$F$271)*100</f>
        <v>0</v>
      </c>
      <c r="H141" s="378">
        <f>('Pivot Table for Data Exchange'!$F$274)*100</f>
        <v>0</v>
      </c>
      <c r="I141" s="384" t="s">
        <v>892</v>
      </c>
      <c r="J141" s="378">
        <f>('Pivot Table for Data Exchange'!$F$277)*100</f>
        <v>60.197248466766119</v>
      </c>
      <c r="K141" s="378">
        <f>('Pivot Table for Data Exchange'!$F$280)*100</f>
        <v>5.4351069119840876</v>
      </c>
      <c r="L141" s="379">
        <f>SUM(M141:O141)</f>
        <v>34.367644621249795</v>
      </c>
      <c r="M141" s="378">
        <f>('Pivot Table for Data Exchange'!$F$283)*100</f>
        <v>28.899386706447871</v>
      </c>
      <c r="N141" s="378">
        <f>('Pivot Table for Data Exchange'!$F$286)*100</f>
        <v>5.4682579148019235</v>
      </c>
      <c r="O141" s="386">
        <f>('Pivot Table for Data Exchange'!$F$289)*100</f>
        <v>0</v>
      </c>
      <c r="P141" s="378">
        <f>('Pivot Table for Data Exchange'!$F$292)*100</f>
        <v>0</v>
      </c>
      <c r="Q141" s="383">
        <f t="shared" si="14"/>
        <v>100</v>
      </c>
      <c r="R141" s="383">
        <f t="shared" si="15"/>
        <v>100</v>
      </c>
      <c r="S141" s="432"/>
      <c r="U141" s="432"/>
      <c r="V141" s="432"/>
      <c r="W141" s="432"/>
      <c r="X141" s="432"/>
      <c r="Y141" s="432"/>
      <c r="Z141" s="432"/>
      <c r="AA141" s="432"/>
      <c r="AB141" s="432"/>
      <c r="AC141" s="432"/>
      <c r="AD141" s="432"/>
      <c r="AE141" s="432"/>
      <c r="AF141" s="432"/>
      <c r="AG141" s="432"/>
      <c r="AH141" s="432"/>
      <c r="AI141" s="432"/>
      <c r="AJ141" s="432"/>
      <c r="AK141" s="432"/>
      <c r="AL141" s="432"/>
      <c r="AM141" s="432"/>
      <c r="AN141" s="432"/>
      <c r="AO141" s="432"/>
    </row>
    <row r="142" spans="1:41" ht="15.75" customHeight="1">
      <c r="B142" s="378"/>
      <c r="C142" s="378"/>
      <c r="D142" s="379"/>
      <c r="E142" s="378"/>
      <c r="F142" s="378"/>
      <c r="G142" s="386"/>
      <c r="H142" s="378"/>
      <c r="I142" s="384"/>
      <c r="J142" s="378"/>
      <c r="K142" s="378"/>
      <c r="L142" s="379"/>
      <c r="M142" s="378"/>
      <c r="N142" s="378"/>
      <c r="O142" s="386"/>
      <c r="P142" s="378"/>
      <c r="Q142" s="383">
        <f t="shared" si="14"/>
        <v>0</v>
      </c>
      <c r="R142" s="383">
        <f t="shared" si="15"/>
        <v>0</v>
      </c>
      <c r="S142" s="432"/>
      <c r="U142" s="432"/>
      <c r="V142" s="432"/>
      <c r="W142" s="432"/>
      <c r="X142" s="432"/>
      <c r="Y142" s="432"/>
      <c r="Z142" s="432"/>
      <c r="AA142" s="432"/>
      <c r="AB142" s="432"/>
      <c r="AC142" s="432"/>
      <c r="AD142" s="432"/>
      <c r="AE142" s="432"/>
      <c r="AF142" s="432"/>
      <c r="AG142" s="432"/>
      <c r="AH142" s="432"/>
      <c r="AI142" s="432"/>
      <c r="AJ142" s="432"/>
      <c r="AK142" s="432"/>
      <c r="AL142" s="432"/>
      <c r="AM142" s="432"/>
      <c r="AN142" s="432"/>
      <c r="AO142" s="432"/>
    </row>
    <row r="143" spans="1:41" ht="15.75" customHeight="1">
      <c r="A143" s="349" t="s">
        <v>893</v>
      </c>
      <c r="B143" s="378">
        <f>('Pivot Table for Data Exchange'!$F$295)*100</f>
        <v>73.202194641835007</v>
      </c>
      <c r="C143" s="378">
        <f>('Pivot Table for Data Exchange'!$F$298)*100</f>
        <v>3.2538031616617107</v>
      </c>
      <c r="D143" s="379">
        <f>SUM(E143:G143)</f>
        <v>23.179624639927031</v>
      </c>
      <c r="E143" s="378">
        <f>('Pivot Table for Data Exchange'!$F$301)*100</f>
        <v>23.179624639927031</v>
      </c>
      <c r="F143" s="378">
        <f>('Pivot Table for Data Exchange'!$F$304)*100</f>
        <v>0</v>
      </c>
      <c r="G143" s="385">
        <f>('Pivot Table for Data Exchange'!$F$307)*100</f>
        <v>0</v>
      </c>
      <c r="H143" s="378">
        <f>('Pivot Table for Data Exchange'!$F$310)*100</f>
        <v>0.36437755657624704</v>
      </c>
      <c r="I143" s="384" t="s">
        <v>893</v>
      </c>
      <c r="J143" s="378">
        <f>('Pivot Table for Data Exchange'!$F$313)*100</f>
        <v>20.480284155255841</v>
      </c>
      <c r="K143" s="378">
        <f>('Pivot Table for Data Exchange'!$F$316)*100</f>
        <v>0.47101822300010299</v>
      </c>
      <c r="L143" s="379">
        <f>SUM(M143:O143)</f>
        <v>78.909708637907954</v>
      </c>
      <c r="M143" s="378">
        <f>('Pivot Table for Data Exchange'!$F$319)*100</f>
        <v>78.832492535776794</v>
      </c>
      <c r="N143" s="378">
        <f>('Pivot Table for Data Exchange'!$F$322)*100</f>
        <v>0</v>
      </c>
      <c r="O143" s="386">
        <f>('Pivot Table for Data Exchange'!$F$325)*100</f>
        <v>7.7216102131164421E-2</v>
      </c>
      <c r="P143" s="378">
        <f>('Pivot Table for Data Exchange'!$F$328)*100</f>
        <v>0.13898898383609595</v>
      </c>
      <c r="Q143" s="383">
        <f t="shared" si="14"/>
        <v>99.999999999999986</v>
      </c>
      <c r="R143" s="383">
        <f t="shared" si="15"/>
        <v>100</v>
      </c>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row>
    <row r="144" spans="1:41" ht="15.75" customHeight="1">
      <c r="A144" s="349" t="s">
        <v>894</v>
      </c>
      <c r="B144" s="378">
        <f>('Pivot Table for Data Exchange'!$F$331)*100</f>
        <v>66.043315402596676</v>
      </c>
      <c r="C144" s="378">
        <f>('Pivot Table for Data Exchange'!$F$334)*100</f>
        <v>0.66465767313487489</v>
      </c>
      <c r="D144" s="379">
        <f>SUM(E144:G144)</f>
        <v>33.292026924268455</v>
      </c>
      <c r="E144" s="378">
        <f>('Pivot Table for Data Exchange'!$F$337)*100</f>
        <v>33.292026924268455</v>
      </c>
      <c r="F144" s="378">
        <f>('Pivot Table for Data Exchange'!$F$340)*100</f>
        <v>0</v>
      </c>
      <c r="G144" s="386">
        <f>('Pivot Table for Data Exchange'!$F$343)*100</f>
        <v>0</v>
      </c>
      <c r="H144" s="378">
        <f>('Pivot Table for Data Exchange'!$F$346)*100</f>
        <v>0</v>
      </c>
      <c r="I144" s="384" t="s">
        <v>894</v>
      </c>
      <c r="J144" s="378">
        <f>('Pivot Table for Data Exchange'!$F$349)*100</f>
        <v>39.608801955990216</v>
      </c>
      <c r="K144" s="378">
        <f>('Pivot Table for Data Exchange'!$F$352)*100</f>
        <v>8.5045926121720736</v>
      </c>
      <c r="L144" s="379">
        <f>SUM(M144:O144)</f>
        <v>51.886605431837708</v>
      </c>
      <c r="M144" s="378">
        <f>('Pivot Table for Data Exchange'!$F$355)*100</f>
        <v>51.886605431837708</v>
      </c>
      <c r="N144" s="378">
        <f>('Pivot Table for Data Exchange'!$F$358)*100</f>
        <v>0</v>
      </c>
      <c r="O144" s="386">
        <f>('Pivot Table for Data Exchange'!$F$361)*100</f>
        <v>0</v>
      </c>
      <c r="P144" s="378">
        <f>('Pivot Table for Data Exchange'!$F$364)*100</f>
        <v>0</v>
      </c>
      <c r="Q144" s="383">
        <f t="shared" si="14"/>
        <v>100</v>
      </c>
      <c r="R144" s="383">
        <f t="shared" si="15"/>
        <v>100</v>
      </c>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row>
    <row r="145" spans="1:41" ht="15.75" customHeight="1">
      <c r="A145" s="349" t="s">
        <v>895</v>
      </c>
      <c r="B145" s="378">
        <f>('Pivot Table for Data Exchange'!$F$367)*100</f>
        <v>69.749228507734401</v>
      </c>
      <c r="C145" s="378">
        <f>('Pivot Table for Data Exchange'!$F$370)*100</f>
        <v>1.5979868189207869</v>
      </c>
      <c r="D145" s="379">
        <f>SUM(E145:G145)</f>
        <v>28.652784673344819</v>
      </c>
      <c r="E145" s="378">
        <f>('Pivot Table for Data Exchange'!$F$373)*100</f>
        <v>27.047983411699423</v>
      </c>
      <c r="F145" s="378">
        <f>('Pivot Table for Data Exchange'!$F$376)*100</f>
        <v>1.6048012616453957</v>
      </c>
      <c r="G145" s="386">
        <f>('Pivot Table for Data Exchange'!$F$379)*100</f>
        <v>0</v>
      </c>
      <c r="H145" s="378">
        <f>('Pivot Table for Data Exchange'!$F$382)*100</f>
        <v>0</v>
      </c>
      <c r="I145" s="384" t="s">
        <v>895</v>
      </c>
      <c r="J145" s="378">
        <f>('Pivot Table for Data Exchange'!$F$385)*100</f>
        <v>31.020377528427218</v>
      </c>
      <c r="K145" s="378">
        <f>('Pivot Table for Data Exchange'!$F$388)*100</f>
        <v>5.8880924681952944</v>
      </c>
      <c r="L145" s="379">
        <f>SUM(M145:O145)</f>
        <v>63.091530003377486</v>
      </c>
      <c r="M145" s="378">
        <f>('Pivot Table for Data Exchange'!$F$391)*100</f>
        <v>62.7087477014298</v>
      </c>
      <c r="N145" s="378">
        <f>('Pivot Table for Data Exchange'!$F$394)*100</f>
        <v>0.38278230194768642</v>
      </c>
      <c r="O145" s="386">
        <f>('Pivot Table for Data Exchange'!$F$397)*100</f>
        <v>0</v>
      </c>
      <c r="P145" s="378">
        <f>('Pivot Table for Data Exchange'!$F$400)*100</f>
        <v>0</v>
      </c>
      <c r="Q145" s="383">
        <f t="shared" si="14"/>
        <v>100</v>
      </c>
      <c r="R145" s="383">
        <f t="shared" si="15"/>
        <v>100</v>
      </c>
      <c r="S145" s="432"/>
      <c r="T145" s="436"/>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row>
    <row r="146" spans="1:41" ht="15.75" customHeight="1">
      <c r="A146" s="349" t="s">
        <v>896</v>
      </c>
      <c r="B146" s="378">
        <f>('Pivot Table for Data Exchange'!$F$403)*100</f>
        <v>0</v>
      </c>
      <c r="C146" s="378">
        <f>('Pivot Table for Data Exchange'!$F$406)*100</f>
        <v>0</v>
      </c>
      <c r="D146" s="379">
        <f>SUM(E146:G146)</f>
        <v>0</v>
      </c>
      <c r="E146" s="378">
        <f>('Pivot Table for Data Exchange'!$F$409)*100</f>
        <v>0</v>
      </c>
      <c r="F146" s="378">
        <f>('Pivot Table for Data Exchange'!$F$412)*100</f>
        <v>0</v>
      </c>
      <c r="G146" s="386">
        <f>('Pivot Table for Data Exchange'!$F$415)*100</f>
        <v>0</v>
      </c>
      <c r="H146" s="378">
        <f>('Pivot Table for Data Exchange'!$F$418)*100</f>
        <v>0</v>
      </c>
      <c r="I146" s="384" t="s">
        <v>896</v>
      </c>
      <c r="J146" s="378">
        <f>('Pivot Table for Data Exchange'!$F$421)*100</f>
        <v>0</v>
      </c>
      <c r="K146" s="378">
        <f>('Pivot Table for Data Exchange'!$F$424)*100</f>
        <v>0</v>
      </c>
      <c r="L146" s="379">
        <f>SUM(M146:O146)</f>
        <v>0</v>
      </c>
      <c r="M146" s="378">
        <f>('Pivot Table for Data Exchange'!$F$427)*100</f>
        <v>0</v>
      </c>
      <c r="N146" s="378">
        <f>('Pivot Table for Data Exchange'!$F$430)*100</f>
        <v>0</v>
      </c>
      <c r="O146" s="386">
        <f>('Pivot Table for Data Exchange'!$F$433)*100</f>
        <v>0</v>
      </c>
      <c r="P146" s="378">
        <f>('Pivot Table for Data Exchange'!$F$436)*100</f>
        <v>0</v>
      </c>
      <c r="Q146" s="383">
        <f t="shared" si="14"/>
        <v>0</v>
      </c>
      <c r="R146" s="383">
        <f t="shared" si="15"/>
        <v>0</v>
      </c>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row>
    <row r="147" spans="1:41" ht="15.75" customHeight="1">
      <c r="B147" s="378"/>
      <c r="C147" s="378"/>
      <c r="D147" s="379"/>
      <c r="E147" s="378"/>
      <c r="F147" s="378"/>
      <c r="G147" s="386"/>
      <c r="H147" s="378"/>
      <c r="I147" s="384"/>
      <c r="J147" s="378"/>
      <c r="K147" s="378"/>
      <c r="L147" s="379"/>
      <c r="M147" s="378"/>
      <c r="N147" s="378"/>
      <c r="O147" s="386"/>
      <c r="P147" s="378"/>
      <c r="Q147" s="383">
        <f t="shared" si="14"/>
        <v>0</v>
      </c>
      <c r="R147" s="383">
        <f t="shared" si="15"/>
        <v>0</v>
      </c>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row>
    <row r="148" spans="1:41" ht="15.75" customHeight="1">
      <c r="A148" s="349" t="s">
        <v>897</v>
      </c>
      <c r="B148" s="378">
        <f>('Pivot Table for Data Exchange'!$F$439)*100</f>
        <v>0</v>
      </c>
      <c r="C148" s="378">
        <f>('Pivot Table for Data Exchange'!$F$442)*100</f>
        <v>0</v>
      </c>
      <c r="D148" s="379">
        <f>SUM(E148:G148)</f>
        <v>0</v>
      </c>
      <c r="E148" s="378">
        <f>('Pivot Table for Data Exchange'!$F$445)*100</f>
        <v>0</v>
      </c>
      <c r="F148" s="378">
        <f>('Pivot Table for Data Exchange'!$F$448)*100</f>
        <v>0</v>
      </c>
      <c r="G148" s="386">
        <f>('Pivot Table for Data Exchange'!$F$451)*100</f>
        <v>0</v>
      </c>
      <c r="H148" s="378">
        <f>('Pivot Table for Data Exchange'!$F$454)*100</f>
        <v>0</v>
      </c>
      <c r="I148" s="384" t="s">
        <v>897</v>
      </c>
      <c r="J148" s="378">
        <f>('Pivot Table for Data Exchange'!$F$457)*100</f>
        <v>0</v>
      </c>
      <c r="K148" s="378">
        <f>('Pivot Table for Data Exchange'!$F$460)*100</f>
        <v>0</v>
      </c>
      <c r="L148" s="379">
        <f>SUM(M148:O148)</f>
        <v>0</v>
      </c>
      <c r="M148" s="378">
        <f>('Pivot Table for Data Exchange'!$F$463)*100</f>
        <v>0</v>
      </c>
      <c r="N148" s="378">
        <f>('Pivot Table for Data Exchange'!$F$466)*100</f>
        <v>0</v>
      </c>
      <c r="O148" s="386">
        <f>('Pivot Table for Data Exchange'!$F$469)*100</f>
        <v>0</v>
      </c>
      <c r="P148" s="378">
        <f>('Pivot Table for Data Exchange'!$F$472)*100</f>
        <v>0</v>
      </c>
      <c r="Q148" s="383">
        <f t="shared" si="14"/>
        <v>0</v>
      </c>
      <c r="R148" s="383">
        <f t="shared" si="15"/>
        <v>0</v>
      </c>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row>
    <row r="149" spans="1:41" ht="15.75" customHeight="1">
      <c r="A149" s="349" t="s">
        <v>898</v>
      </c>
      <c r="B149" s="378">
        <f>('Pivot Table for Data Exchange'!$F$475)*100</f>
        <v>42.618963056283384</v>
      </c>
      <c r="C149" s="378">
        <f>('Pivot Table for Data Exchange'!$F$478)*100</f>
        <v>5.7469492786158005</v>
      </c>
      <c r="D149" s="379">
        <f>SUM(E149:G149)</f>
        <v>51.634087665100822</v>
      </c>
      <c r="E149" s="378">
        <f>('Pivot Table for Data Exchange'!$F$481)*100</f>
        <v>49.302070000737132</v>
      </c>
      <c r="F149" s="378">
        <f>('Pivot Table for Data Exchange'!$F$484)*100</f>
        <v>2.3320176643636876</v>
      </c>
      <c r="G149" s="386">
        <f>('Pivot Table for Data Exchange'!$F$487)*100</f>
        <v>0</v>
      </c>
      <c r="H149" s="378">
        <f>('Pivot Table for Data Exchange'!$F$490)*100</f>
        <v>0</v>
      </c>
      <c r="I149" s="384" t="s">
        <v>898</v>
      </c>
      <c r="J149" s="378">
        <f>('Pivot Table for Data Exchange'!$F$493)*100</f>
        <v>21.104294478527606</v>
      </c>
      <c r="K149" s="378">
        <f>('Pivot Table for Data Exchange'!$F$496)*100</f>
        <v>6.5994741454864156</v>
      </c>
      <c r="L149" s="379">
        <f>SUM(M149:O149)</f>
        <v>72.296231375985982</v>
      </c>
      <c r="M149" s="378">
        <f>('Pivot Table for Data Exchange'!$F$499)*100</f>
        <v>70.280455740578446</v>
      </c>
      <c r="N149" s="378">
        <f>('Pivot Table for Data Exchange'!$F$502)*100</f>
        <v>2.0157756354075373</v>
      </c>
      <c r="O149" s="386">
        <f>('Pivot Table for Data Exchange'!$F$505)*100</f>
        <v>0</v>
      </c>
      <c r="P149" s="378">
        <f>('Pivot Table for Data Exchange'!$F$508)*100</f>
        <v>0</v>
      </c>
      <c r="Q149" s="383">
        <f t="shared" si="14"/>
        <v>100</v>
      </c>
      <c r="R149" s="383">
        <f t="shared" si="15"/>
        <v>100</v>
      </c>
      <c r="S149" s="432"/>
      <c r="T149" s="432"/>
      <c r="U149" s="432"/>
      <c r="V149" s="432"/>
      <c r="W149" s="432"/>
      <c r="X149" s="432"/>
      <c r="Y149" s="432"/>
      <c r="Z149" s="432"/>
      <c r="AA149" s="432"/>
      <c r="AB149" s="432"/>
      <c r="AC149" s="432"/>
      <c r="AD149" s="432"/>
      <c r="AE149" s="432"/>
      <c r="AF149" s="432"/>
      <c r="AG149" s="432"/>
      <c r="AH149" s="432"/>
      <c r="AI149" s="432"/>
      <c r="AJ149" s="432"/>
      <c r="AK149" s="432"/>
      <c r="AL149" s="432"/>
      <c r="AM149" s="432"/>
      <c r="AN149" s="432"/>
      <c r="AO149" s="432"/>
    </row>
    <row r="150" spans="1:41" ht="15.75" customHeight="1">
      <c r="A150" s="349" t="s">
        <v>899</v>
      </c>
      <c r="B150" s="378">
        <f>('Pivot Table for Data Exchange'!$F$511)*100</f>
        <v>0</v>
      </c>
      <c r="C150" s="378">
        <f>('Pivot Table for Data Exchange'!$F$514)*100</f>
        <v>0</v>
      </c>
      <c r="D150" s="379">
        <f>SUM(E150:G150)</f>
        <v>0</v>
      </c>
      <c r="E150" s="378">
        <f>('Pivot Table for Data Exchange'!$F$517)*100</f>
        <v>0</v>
      </c>
      <c r="F150" s="378">
        <f>('Pivot Table for Data Exchange'!$F$520)*100</f>
        <v>0</v>
      </c>
      <c r="G150" s="386">
        <f>('Pivot Table for Data Exchange'!$F$523)*100</f>
        <v>0</v>
      </c>
      <c r="H150" s="378">
        <f>('Pivot Table for Data Exchange'!$F$526)*100</f>
        <v>0</v>
      </c>
      <c r="I150" s="384" t="s">
        <v>899</v>
      </c>
      <c r="J150" s="378">
        <f>('Pivot Table for Data Exchange'!$F$529)*100</f>
        <v>0</v>
      </c>
      <c r="K150" s="378">
        <f>('Pivot Table for Data Exchange'!$F$532)*100</f>
        <v>0</v>
      </c>
      <c r="L150" s="379">
        <f>SUM(M150:O150)</f>
        <v>0</v>
      </c>
      <c r="M150" s="378">
        <f>('Pivot Table for Data Exchange'!$F$535)*100</f>
        <v>0</v>
      </c>
      <c r="N150" s="378">
        <f>('Pivot Table for Data Exchange'!$F$538)*100</f>
        <v>0</v>
      </c>
      <c r="O150" s="386">
        <f>('Pivot Table for Data Exchange'!$F$541)*100</f>
        <v>0</v>
      </c>
      <c r="P150" s="378">
        <f>('Pivot Table for Data Exchange'!$F$544)*100</f>
        <v>0</v>
      </c>
      <c r="Q150" s="383">
        <f t="shared" si="14"/>
        <v>0</v>
      </c>
      <c r="R150" s="383">
        <f t="shared" si="15"/>
        <v>0</v>
      </c>
      <c r="S150" s="432"/>
      <c r="T150" s="432"/>
      <c r="U150" s="432"/>
      <c r="V150" s="432"/>
      <c r="W150" s="432"/>
      <c r="X150" s="432"/>
      <c r="Y150" s="432"/>
      <c r="Z150" s="432"/>
      <c r="AA150" s="432"/>
      <c r="AB150" s="432"/>
      <c r="AC150" s="432"/>
      <c r="AD150" s="432"/>
      <c r="AE150" s="432"/>
      <c r="AF150" s="432"/>
      <c r="AG150" s="432"/>
      <c r="AH150" s="432"/>
      <c r="AI150" s="432"/>
      <c r="AJ150" s="432"/>
      <c r="AK150" s="432"/>
      <c r="AL150" s="432"/>
      <c r="AM150" s="432"/>
      <c r="AN150" s="432"/>
      <c r="AO150" s="432"/>
    </row>
    <row r="151" spans="1:41" ht="15.75" customHeight="1">
      <c r="A151" s="355" t="s">
        <v>900</v>
      </c>
      <c r="B151" s="391">
        <f>('Pivot Table for Data Exchange'!$F$547)*100</f>
        <v>0</v>
      </c>
      <c r="C151" s="391">
        <f>('Pivot Table for Data Exchange'!$F$550)*100</f>
        <v>0</v>
      </c>
      <c r="D151" s="392">
        <f>SUM(E151:G151)</f>
        <v>0</v>
      </c>
      <c r="E151" s="391">
        <f>('Pivot Table for Data Exchange'!$F$553)*100</f>
        <v>0</v>
      </c>
      <c r="F151" s="391">
        <f>('Pivot Table for Data Exchange'!$F$556)*100</f>
        <v>0</v>
      </c>
      <c r="G151" s="393">
        <f>('Pivot Table for Data Exchange'!$F$559)*100</f>
        <v>0</v>
      </c>
      <c r="H151" s="391">
        <f>('Pivot Table for Data Exchange'!$F$562)*100</f>
        <v>0</v>
      </c>
      <c r="I151" s="394" t="s">
        <v>900</v>
      </c>
      <c r="J151" s="391">
        <f>('Pivot Table for Data Exchange'!$F$565)*100</f>
        <v>0</v>
      </c>
      <c r="K151" s="391">
        <f>('Pivot Table for Data Exchange'!$F$568)*100</f>
        <v>0</v>
      </c>
      <c r="L151" s="392">
        <f>SUM(M151:O151)</f>
        <v>0</v>
      </c>
      <c r="M151" s="391">
        <f>('Pivot Table for Data Exchange'!$F$571)*100</f>
        <v>0</v>
      </c>
      <c r="N151" s="391">
        <f>('Pivot Table for Data Exchange'!$F$574)*100</f>
        <v>0</v>
      </c>
      <c r="O151" s="393">
        <f>('Pivot Table for Data Exchange'!$F$577)*100</f>
        <v>0</v>
      </c>
      <c r="P151" s="391">
        <f>('Pivot Table for Data Exchange'!$F$580)*100</f>
        <v>0</v>
      </c>
      <c r="Q151" s="383">
        <f t="shared" si="14"/>
        <v>0</v>
      </c>
      <c r="R151" s="383">
        <f t="shared" si="15"/>
        <v>0</v>
      </c>
      <c r="S151" s="432"/>
      <c r="T151" s="432"/>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row>
    <row r="152" spans="1:41" s="422" customFormat="1" ht="12.75" customHeight="1">
      <c r="A152" s="397" t="s">
        <v>926</v>
      </c>
      <c r="B152" s="398"/>
      <c r="C152" s="398"/>
      <c r="D152" s="399"/>
      <c r="E152" s="398"/>
      <c r="F152" s="399"/>
      <c r="G152" s="399"/>
      <c r="H152" s="398"/>
      <c r="I152" s="397" t="s">
        <v>926</v>
      </c>
      <c r="J152" s="398"/>
      <c r="K152" s="398"/>
      <c r="L152" s="399"/>
      <c r="M152" s="398"/>
      <c r="N152" s="399"/>
      <c r="O152" s="399"/>
      <c r="P152" s="398"/>
      <c r="Q152" s="383">
        <f t="shared" si="14"/>
        <v>0</v>
      </c>
      <c r="R152" s="383">
        <f t="shared" si="15"/>
        <v>0</v>
      </c>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row>
    <row r="153" spans="1:41" s="422" customFormat="1" ht="24" customHeight="1">
      <c r="A153" s="501" t="s">
        <v>932</v>
      </c>
      <c r="B153" s="502"/>
      <c r="C153" s="502"/>
      <c r="D153" s="502"/>
      <c r="E153" s="502"/>
      <c r="F153" s="502"/>
      <c r="G153" s="502"/>
      <c r="H153" s="502"/>
      <c r="I153" s="501" t="s">
        <v>932</v>
      </c>
      <c r="J153" s="502"/>
      <c r="K153" s="502"/>
      <c r="L153" s="502"/>
      <c r="M153" s="502"/>
      <c r="N153" s="502"/>
      <c r="O153" s="502"/>
      <c r="P153" s="502"/>
      <c r="Q153" s="383">
        <f t="shared" si="14"/>
        <v>0</v>
      </c>
      <c r="R153" s="383">
        <f t="shared" si="15"/>
        <v>0</v>
      </c>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row>
    <row r="154" spans="1:41" s="422" customFormat="1" ht="9.75" customHeight="1">
      <c r="A154" s="401"/>
      <c r="B154" s="410"/>
      <c r="C154" s="410"/>
      <c r="D154" s="410"/>
      <c r="E154" s="410"/>
      <c r="F154" s="410"/>
      <c r="G154" s="410"/>
      <c r="H154" s="410"/>
      <c r="I154" s="401"/>
      <c r="J154" s="410"/>
      <c r="K154" s="410"/>
      <c r="L154" s="410"/>
      <c r="M154" s="410"/>
      <c r="N154" s="410"/>
      <c r="O154" s="410"/>
      <c r="P154" s="410"/>
      <c r="Q154" s="383"/>
      <c r="R154" s="383"/>
      <c r="S154" s="435"/>
      <c r="T154" s="435"/>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row>
    <row r="155" spans="1:41" s="422" customFormat="1" ht="13.5" customHeight="1">
      <c r="A155" s="407"/>
      <c r="B155" s="408"/>
      <c r="C155" s="396"/>
      <c r="D155" s="396"/>
      <c r="E155" s="396"/>
      <c r="F155" s="396"/>
      <c r="G155" s="396"/>
      <c r="H155" s="402" t="s">
        <v>1007</v>
      </c>
      <c r="I155" s="407"/>
      <c r="J155" s="396"/>
      <c r="K155" s="396"/>
      <c r="L155" s="396"/>
      <c r="M155" s="396"/>
      <c r="N155" s="396"/>
      <c r="O155" s="396"/>
      <c r="P155" s="402" t="s">
        <v>1007</v>
      </c>
      <c r="Q155" s="383">
        <f t="shared" ref="Q155:Q216" si="24">SUM(B155,C155,D155,H155)</f>
        <v>0</v>
      </c>
      <c r="R155" s="383">
        <f t="shared" ref="R155:R216" si="25">SUM(J155,K155,L155,P155)</f>
        <v>0</v>
      </c>
    </row>
    <row r="156" spans="1:41" ht="18">
      <c r="A156" s="344" t="s">
        <v>935</v>
      </c>
      <c r="B156" s="345"/>
      <c r="C156" s="345"/>
      <c r="D156" s="345"/>
      <c r="E156" s="345"/>
      <c r="F156" s="345"/>
      <c r="G156" s="345"/>
      <c r="H156" s="345"/>
      <c r="I156" s="344" t="s">
        <v>936</v>
      </c>
      <c r="J156" s="346"/>
      <c r="K156" s="346"/>
      <c r="L156" s="345"/>
      <c r="M156" s="346"/>
      <c r="N156" s="346"/>
      <c r="O156" s="346"/>
      <c r="P156" s="346"/>
      <c r="Q156" s="383">
        <f t="shared" si="24"/>
        <v>0</v>
      </c>
      <c r="R156" s="383">
        <f t="shared" si="25"/>
        <v>0</v>
      </c>
    </row>
    <row r="157" spans="1:41">
      <c r="A157" s="350"/>
      <c r="B157" s="346"/>
      <c r="C157" s="346"/>
      <c r="D157" s="346"/>
      <c r="E157" s="346"/>
      <c r="F157" s="346"/>
      <c r="G157" s="346"/>
      <c r="H157" s="346"/>
      <c r="I157" s="350"/>
      <c r="J157" s="346"/>
      <c r="K157" s="346"/>
      <c r="L157" s="346"/>
      <c r="M157" s="346"/>
      <c r="N157" s="346"/>
      <c r="O157" s="346"/>
      <c r="P157" s="346"/>
      <c r="Q157" s="383">
        <f t="shared" si="24"/>
        <v>0</v>
      </c>
      <c r="R157" s="383">
        <f t="shared" si="25"/>
        <v>0</v>
      </c>
    </row>
    <row r="158" spans="1:41" ht="15.75">
      <c r="A158" s="352" t="s">
        <v>906</v>
      </c>
      <c r="B158" s="346"/>
      <c r="C158" s="346"/>
      <c r="D158" s="346"/>
      <c r="E158" s="346"/>
      <c r="F158" s="346"/>
      <c r="G158" s="346"/>
      <c r="H158" s="346"/>
      <c r="I158" s="352" t="s">
        <v>907</v>
      </c>
      <c r="J158" s="346"/>
      <c r="K158" s="346"/>
      <c r="L158" s="346"/>
      <c r="M158" s="346"/>
      <c r="N158" s="346"/>
      <c r="O158" s="346"/>
      <c r="P158" s="346"/>
      <c r="Q158" s="383">
        <f t="shared" si="24"/>
        <v>0</v>
      </c>
      <c r="R158" s="383">
        <f t="shared" si="25"/>
        <v>0</v>
      </c>
    </row>
    <row r="159" spans="1:41" ht="15.75">
      <c r="A159" s="352" t="s">
        <v>971</v>
      </c>
      <c r="B159" s="346"/>
      <c r="C159" s="346"/>
      <c r="D159" s="346"/>
      <c r="E159" s="346"/>
      <c r="F159" s="346"/>
      <c r="G159" s="346"/>
      <c r="H159" s="346"/>
      <c r="I159" s="352" t="s">
        <v>971</v>
      </c>
      <c r="J159" s="346"/>
      <c r="K159" s="346"/>
      <c r="L159" s="346"/>
      <c r="M159" s="346"/>
      <c r="N159" s="346"/>
      <c r="O159" s="346"/>
      <c r="P159" s="346"/>
      <c r="Q159" s="383">
        <f t="shared" si="24"/>
        <v>0</v>
      </c>
      <c r="R159" s="383">
        <f t="shared" si="25"/>
        <v>0</v>
      </c>
    </row>
    <row r="160" spans="1:41">
      <c r="A160" s="355"/>
      <c r="B160" s="356"/>
      <c r="C160" s="356"/>
      <c r="D160" s="356"/>
      <c r="E160" s="356"/>
      <c r="F160" s="356"/>
      <c r="G160" s="356"/>
      <c r="H160" s="356"/>
      <c r="I160" s="357"/>
      <c r="L160" s="358"/>
      <c r="P160" s="355"/>
      <c r="Q160" s="383">
        <f t="shared" si="24"/>
        <v>0</v>
      </c>
      <c r="R160" s="383">
        <f t="shared" si="25"/>
        <v>0</v>
      </c>
    </row>
    <row r="161" spans="1:41" s="376" customFormat="1">
      <c r="A161" s="360"/>
      <c r="B161" s="361" t="s">
        <v>908</v>
      </c>
      <c r="C161" s="361"/>
      <c r="D161" s="361"/>
      <c r="E161" s="361"/>
      <c r="F161" s="361"/>
      <c r="G161" s="361"/>
      <c r="H161" s="362"/>
      <c r="I161" s="360"/>
      <c r="J161" s="361" t="s">
        <v>908</v>
      </c>
      <c r="K161" s="361"/>
      <c r="L161" s="361"/>
      <c r="M161" s="361"/>
      <c r="N161" s="361"/>
      <c r="O161" s="361"/>
      <c r="P161" s="362"/>
      <c r="Q161" s="383">
        <f t="shared" si="24"/>
        <v>0</v>
      </c>
      <c r="R161" s="383">
        <f t="shared" si="25"/>
        <v>0</v>
      </c>
    </row>
    <row r="162" spans="1:41" s="376" customFormat="1">
      <c r="A162" s="360"/>
      <c r="B162" s="361" t="s">
        <v>909</v>
      </c>
      <c r="C162" s="361"/>
      <c r="D162" s="506" t="s">
        <v>910</v>
      </c>
      <c r="E162" s="504"/>
      <c r="F162" s="504"/>
      <c r="G162" s="504"/>
      <c r="H162" s="368" t="s">
        <v>800</v>
      </c>
      <c r="I162" s="360"/>
      <c r="J162" s="361" t="s">
        <v>909</v>
      </c>
      <c r="K162" s="361"/>
      <c r="L162" s="506" t="s">
        <v>910</v>
      </c>
      <c r="M162" s="504"/>
      <c r="N162" s="504"/>
      <c r="O162" s="504"/>
      <c r="P162" s="368" t="s">
        <v>800</v>
      </c>
      <c r="Q162" s="383">
        <f t="shared" si="24"/>
        <v>0</v>
      </c>
      <c r="R162" s="383">
        <f t="shared" si="25"/>
        <v>0</v>
      </c>
    </row>
    <row r="163" spans="1:41" s="376" customFormat="1" ht="40.5" customHeight="1">
      <c r="A163" s="360"/>
      <c r="B163" s="369" t="s">
        <v>911</v>
      </c>
      <c r="C163" s="370" t="s">
        <v>912</v>
      </c>
      <c r="D163" s="371" t="s">
        <v>913</v>
      </c>
      <c r="E163" s="372" t="s">
        <v>10</v>
      </c>
      <c r="F163" s="369" t="s">
        <v>914</v>
      </c>
      <c r="G163" s="373" t="s">
        <v>924</v>
      </c>
      <c r="H163" s="374" t="s">
        <v>916</v>
      </c>
      <c r="I163" s="360"/>
      <c r="J163" s="369" t="s">
        <v>911</v>
      </c>
      <c r="K163" s="370" t="s">
        <v>912</v>
      </c>
      <c r="L163" s="371" t="s">
        <v>913</v>
      </c>
      <c r="M163" s="372" t="s">
        <v>10</v>
      </c>
      <c r="N163" s="369" t="s">
        <v>914</v>
      </c>
      <c r="O163" s="373" t="s">
        <v>924</v>
      </c>
      <c r="P163" s="374" t="s">
        <v>916</v>
      </c>
      <c r="Q163" s="383">
        <f t="shared" si="24"/>
        <v>0</v>
      </c>
      <c r="R163" s="383">
        <f t="shared" si="25"/>
        <v>0</v>
      </c>
      <c r="T163" s="375"/>
    </row>
    <row r="164" spans="1:41" ht="15.75" customHeight="1">
      <c r="A164" s="404" t="s">
        <v>885</v>
      </c>
      <c r="B164" s="431">
        <f>('Pivot Table for Data Exchange'!$G$7)*100</f>
        <v>89.566012026664282</v>
      </c>
      <c r="C164" s="378">
        <f>('Pivot Table for Data Exchange'!$G$10)*100</f>
        <v>0.2741491991742887</v>
      </c>
      <c r="D164" s="379">
        <f>SUM(E164:G164)</f>
        <v>10.159838774161438</v>
      </c>
      <c r="E164" s="378">
        <f>('Pivot Table for Data Exchange'!$G$13)*100</f>
        <v>10.159838774161438</v>
      </c>
      <c r="F164" s="378">
        <f>('Pivot Table for Data Exchange'!$G$16)*100</f>
        <v>0</v>
      </c>
      <c r="G164" s="382">
        <f>('Pivot Table for Data Exchange'!$G$19)*100</f>
        <v>0</v>
      </c>
      <c r="H164" s="378">
        <f>('Pivot Table for Data Exchange'!$G$22)*100</f>
        <v>0</v>
      </c>
      <c r="I164" s="381" t="s">
        <v>885</v>
      </c>
      <c r="J164" s="378">
        <f>('Pivot Table for Data Exchange'!$G$25)*100</f>
        <v>14.104626596631325</v>
      </c>
      <c r="K164" s="378">
        <f>('Pivot Table for Data Exchange'!$G$28)*100</f>
        <v>0.69195433489039204</v>
      </c>
      <c r="L164" s="379">
        <f>SUM(M164:O164)</f>
        <v>85.203419068478283</v>
      </c>
      <c r="M164" s="378">
        <f>('Pivot Table for Data Exchange'!$G$31)*100</f>
        <v>85.203419068478283</v>
      </c>
      <c r="N164" s="378">
        <f>('Pivot Table for Data Exchange'!$G$34)*100</f>
        <v>0</v>
      </c>
      <c r="O164" s="382">
        <f>('Pivot Table for Data Exchange'!$G$37)*100</f>
        <v>0</v>
      </c>
      <c r="P164" s="378">
        <f>('Pivot Table for Data Exchange'!$G$40)*100</f>
        <v>0</v>
      </c>
      <c r="Q164" s="383">
        <f t="shared" si="24"/>
        <v>100.00000000000001</v>
      </c>
      <c r="R164" s="383">
        <f t="shared" si="25"/>
        <v>100</v>
      </c>
      <c r="S164" s="432"/>
      <c r="T164" s="432"/>
      <c r="U164" s="432"/>
      <c r="V164" s="432"/>
      <c r="W164" s="432"/>
      <c r="X164" s="432"/>
      <c r="Y164" s="432"/>
      <c r="Z164" s="432"/>
      <c r="AA164" s="432"/>
      <c r="AB164" s="432"/>
      <c r="AC164" s="432"/>
      <c r="AD164" s="432"/>
      <c r="AE164" s="432"/>
      <c r="AF164" s="432"/>
      <c r="AG164" s="432"/>
      <c r="AH164" s="432"/>
      <c r="AI164" s="432"/>
      <c r="AJ164" s="432"/>
      <c r="AK164" s="432"/>
      <c r="AL164" s="432"/>
      <c r="AM164" s="432"/>
      <c r="AN164" s="432"/>
      <c r="AO164" s="432"/>
    </row>
    <row r="165" spans="1:41" ht="15.75" customHeight="1">
      <c r="A165" s="349" t="s">
        <v>886</v>
      </c>
      <c r="B165" s="378">
        <f>('Pivot Table for Data Exchange'!$G$43)*100</f>
        <v>66.740986973677096</v>
      </c>
      <c r="C165" s="378">
        <f>('Pivot Table for Data Exchange'!$G$46)*100</f>
        <v>9.5616453164693809</v>
      </c>
      <c r="D165" s="379">
        <f t="shared" ref="D165:D167" si="26">SUM(E165:G165)</f>
        <v>23.697367709853523</v>
      </c>
      <c r="E165" s="378">
        <f>('Pivot Table for Data Exchange'!$G$49)*100</f>
        <v>23.673044700286471</v>
      </c>
      <c r="F165" s="378">
        <f>('Pivot Table for Data Exchange'!$G$52)*100</f>
        <v>2.4323009567050431E-2</v>
      </c>
      <c r="G165" s="386">
        <f>('Pivot Table for Data Exchange'!$G$55)*100</f>
        <v>0</v>
      </c>
      <c r="H165" s="378">
        <f>('Pivot Table for Data Exchange'!$G$58)*100</f>
        <v>0</v>
      </c>
      <c r="I165" s="384" t="s">
        <v>886</v>
      </c>
      <c r="J165" s="378">
        <f>('Pivot Table for Data Exchange'!$G$61)*100</f>
        <v>14.759192128430865</v>
      </c>
      <c r="K165" s="378">
        <f>('Pivot Table for Data Exchange'!$G$64)*100</f>
        <v>0</v>
      </c>
      <c r="L165" s="379">
        <f t="shared" ref="L165:L167" si="27">SUM(M165:O165)</f>
        <v>85.240807871569132</v>
      </c>
      <c r="M165" s="378">
        <f>('Pivot Table for Data Exchange'!$G$67)*100</f>
        <v>85.240807871569132</v>
      </c>
      <c r="N165" s="378">
        <f>('Pivot Table for Data Exchange'!$G$70)*100</f>
        <v>0</v>
      </c>
      <c r="O165" s="386">
        <f>('Pivot Table for Data Exchange'!$G$73)*100</f>
        <v>0</v>
      </c>
      <c r="P165" s="378">
        <f>('Pivot Table for Data Exchange'!$G$76)*100</f>
        <v>0</v>
      </c>
      <c r="Q165" s="383">
        <f t="shared" si="24"/>
        <v>100</v>
      </c>
      <c r="R165" s="383">
        <f t="shared" si="25"/>
        <v>100</v>
      </c>
      <c r="S165" s="432"/>
      <c r="T165" s="432"/>
      <c r="U165" s="432"/>
      <c r="V165" s="432"/>
      <c r="W165" s="432"/>
      <c r="X165" s="432"/>
      <c r="Y165" s="432"/>
      <c r="Z165" s="432"/>
      <c r="AA165" s="432"/>
      <c r="AB165" s="432"/>
      <c r="AC165" s="432"/>
      <c r="AD165" s="432"/>
      <c r="AE165" s="432"/>
      <c r="AF165" s="432"/>
      <c r="AG165" s="432"/>
      <c r="AH165" s="432"/>
      <c r="AI165" s="432"/>
      <c r="AJ165" s="432"/>
      <c r="AK165" s="432"/>
      <c r="AL165" s="432"/>
      <c r="AM165" s="432"/>
      <c r="AN165" s="432"/>
      <c r="AO165" s="432"/>
    </row>
    <row r="166" spans="1:41" ht="15.75" customHeight="1">
      <c r="A166" s="349" t="s">
        <v>887</v>
      </c>
      <c r="B166" s="378">
        <f>('Pivot Table for Data Exchange'!$G$79)*100</f>
        <v>0</v>
      </c>
      <c r="C166" s="378">
        <f>('Pivot Table for Data Exchange'!$G$82)*100</f>
        <v>0</v>
      </c>
      <c r="D166" s="379">
        <f t="shared" si="26"/>
        <v>0</v>
      </c>
      <c r="E166" s="378">
        <f>('Pivot Table for Data Exchange'!$G$85)*100</f>
        <v>0</v>
      </c>
      <c r="F166" s="378">
        <f>('Pivot Table for Data Exchange'!$G$88)*100</f>
        <v>0</v>
      </c>
      <c r="G166" s="386">
        <f>('Pivot Table for Data Exchange'!$G$91)*100</f>
        <v>0</v>
      </c>
      <c r="H166" s="378">
        <f>('Pivot Table for Data Exchange'!$G$94)*100</f>
        <v>0</v>
      </c>
      <c r="I166" s="384" t="s">
        <v>887</v>
      </c>
      <c r="J166" s="378">
        <f>('Pivot Table for Data Exchange'!$G$97)*100</f>
        <v>0</v>
      </c>
      <c r="K166" s="378">
        <f>('Pivot Table for Data Exchange'!$G$100)*100</f>
        <v>0</v>
      </c>
      <c r="L166" s="379">
        <f t="shared" si="27"/>
        <v>0</v>
      </c>
      <c r="M166" s="378">
        <f>('Pivot Table for Data Exchange'!$G$103)*100</f>
        <v>0</v>
      </c>
      <c r="N166" s="378">
        <f>('Pivot Table for Data Exchange'!$G$106)*100</f>
        <v>0</v>
      </c>
      <c r="O166" s="386">
        <f>('Pivot Table for Data Exchange'!$G$109)*100</f>
        <v>0</v>
      </c>
      <c r="P166" s="378">
        <f>('Pivot Table for Data Exchange'!$G$112)*100</f>
        <v>0</v>
      </c>
      <c r="Q166" s="383">
        <f t="shared" si="24"/>
        <v>0</v>
      </c>
      <c r="R166" s="383">
        <f t="shared" si="25"/>
        <v>0</v>
      </c>
      <c r="S166" s="432"/>
      <c r="T166" s="436"/>
      <c r="U166" s="432"/>
      <c r="V166" s="432"/>
      <c r="W166" s="432"/>
      <c r="X166" s="432"/>
      <c r="Y166" s="432"/>
      <c r="Z166" s="432"/>
      <c r="AA166" s="432"/>
      <c r="AB166" s="432"/>
      <c r="AC166" s="432"/>
      <c r="AD166" s="432"/>
      <c r="AE166" s="432"/>
      <c r="AF166" s="432"/>
      <c r="AG166" s="432"/>
      <c r="AH166" s="432"/>
      <c r="AI166" s="432"/>
      <c r="AJ166" s="432"/>
      <c r="AK166" s="432"/>
      <c r="AL166" s="432"/>
      <c r="AM166" s="432"/>
      <c r="AN166" s="432"/>
      <c r="AO166" s="432"/>
    </row>
    <row r="167" spans="1:41" ht="15.75" customHeight="1">
      <c r="A167" s="349" t="s">
        <v>888</v>
      </c>
      <c r="B167" s="378">
        <f>('Pivot Table for Data Exchange'!$G$115)*100</f>
        <v>0</v>
      </c>
      <c r="C167" s="378">
        <f>('Pivot Table for Data Exchange'!$G$118)*100</f>
        <v>0</v>
      </c>
      <c r="D167" s="379">
        <f t="shared" si="26"/>
        <v>0</v>
      </c>
      <c r="E167" s="378">
        <f>('Pivot Table for Data Exchange'!$G$121)*100</f>
        <v>0</v>
      </c>
      <c r="F167" s="378">
        <f>('Pivot Table for Data Exchange'!$G$124)*100</f>
        <v>0</v>
      </c>
      <c r="G167" s="386">
        <f>('Pivot Table for Data Exchange'!$G$127)*100</f>
        <v>0</v>
      </c>
      <c r="H167" s="378">
        <f>('Pivot Table for Data Exchange'!$G$130)*100</f>
        <v>0</v>
      </c>
      <c r="I167" s="384" t="s">
        <v>888</v>
      </c>
      <c r="J167" s="378">
        <f>('Pivot Table for Data Exchange'!$G$133)*100</f>
        <v>0</v>
      </c>
      <c r="K167" s="378">
        <f>('Pivot Table for Data Exchange'!$G$136)*100</f>
        <v>0</v>
      </c>
      <c r="L167" s="379">
        <f t="shared" si="27"/>
        <v>0</v>
      </c>
      <c r="M167" s="378">
        <f>('Pivot Table for Data Exchange'!$G$139)*100</f>
        <v>0</v>
      </c>
      <c r="N167" s="378">
        <f>('Pivot Table for Data Exchange'!$G$142)*100</f>
        <v>0</v>
      </c>
      <c r="O167" s="386">
        <f>('Pivot Table for Data Exchange'!$G$145)*100</f>
        <v>0</v>
      </c>
      <c r="P167" s="378">
        <f>('Pivot Table for Data Exchange'!$G$148)*100</f>
        <v>0</v>
      </c>
      <c r="Q167" s="383">
        <f t="shared" si="24"/>
        <v>0</v>
      </c>
      <c r="R167" s="383">
        <f t="shared" si="25"/>
        <v>0</v>
      </c>
      <c r="S167" s="432"/>
      <c r="U167" s="432"/>
      <c r="V167" s="432"/>
      <c r="W167" s="432"/>
      <c r="X167" s="432"/>
      <c r="Y167" s="432"/>
      <c r="Z167" s="432"/>
      <c r="AA167" s="432"/>
      <c r="AB167" s="432"/>
      <c r="AC167" s="432"/>
      <c r="AD167" s="432"/>
      <c r="AE167" s="432"/>
      <c r="AF167" s="432"/>
      <c r="AG167" s="432"/>
      <c r="AH167" s="432"/>
      <c r="AI167" s="432"/>
      <c r="AJ167" s="432"/>
      <c r="AK167" s="432"/>
      <c r="AL167" s="432"/>
      <c r="AM167" s="432"/>
      <c r="AN167" s="432"/>
      <c r="AO167" s="432"/>
    </row>
    <row r="168" spans="1:41" ht="10.5" customHeight="1">
      <c r="B168" s="378"/>
      <c r="C168" s="378"/>
      <c r="D168" s="379"/>
      <c r="E168" s="378"/>
      <c r="F168" s="378"/>
      <c r="G168" s="386"/>
      <c r="H168" s="378"/>
      <c r="I168" s="384"/>
      <c r="J168" s="378"/>
      <c r="K168" s="378"/>
      <c r="L168" s="379"/>
      <c r="M168" s="378"/>
      <c r="N168" s="378"/>
      <c r="O168" s="386"/>
      <c r="P168" s="378"/>
      <c r="Q168" s="383">
        <f t="shared" si="24"/>
        <v>0</v>
      </c>
      <c r="R168" s="383">
        <f t="shared" si="25"/>
        <v>0</v>
      </c>
      <c r="S168" s="432"/>
      <c r="U168" s="432"/>
      <c r="V168" s="432"/>
      <c r="W168" s="432"/>
      <c r="X168" s="432"/>
      <c r="Y168" s="432"/>
      <c r="Z168" s="432"/>
      <c r="AA168" s="432"/>
      <c r="AB168" s="432"/>
      <c r="AC168" s="432"/>
      <c r="AD168" s="432"/>
      <c r="AE168" s="432"/>
      <c r="AF168" s="432"/>
      <c r="AG168" s="432"/>
      <c r="AH168" s="432"/>
      <c r="AI168" s="432"/>
      <c r="AJ168" s="432"/>
      <c r="AK168" s="432"/>
      <c r="AL168" s="432"/>
      <c r="AM168" s="432"/>
      <c r="AN168" s="432"/>
      <c r="AO168" s="432"/>
    </row>
    <row r="169" spans="1:41" ht="15.75" customHeight="1">
      <c r="A169" s="349" t="s">
        <v>889</v>
      </c>
      <c r="B169" s="378">
        <f>('Pivot Table for Data Exchange'!$G$151)*100</f>
        <v>90.325333420023895</v>
      </c>
      <c r="C169" s="378">
        <f>('Pivot Table for Data Exchange'!$G$154)*100</f>
        <v>0.48438350820444886</v>
      </c>
      <c r="D169" s="379">
        <f t="shared" ref="D169:D170" si="28">SUM(E169:G169)</f>
        <v>9.1902830717716579</v>
      </c>
      <c r="E169" s="378">
        <f>('Pivot Table for Data Exchange'!$G$157)*100</f>
        <v>9.1902830717716579</v>
      </c>
      <c r="F169" s="390">
        <f>('Pivot Table for Data Exchange'!$G$160)*100</f>
        <v>0</v>
      </c>
      <c r="G169" s="385">
        <f>('Pivot Table for Data Exchange'!$G$163)*100</f>
        <v>0</v>
      </c>
      <c r="H169" s="378">
        <f>('Pivot Table for Data Exchange'!$G$166)*100</f>
        <v>0</v>
      </c>
      <c r="I169" s="384" t="s">
        <v>889</v>
      </c>
      <c r="J169" s="378">
        <f>('Pivot Table for Data Exchange'!$G$169)*100</f>
        <v>50.536789735532864</v>
      </c>
      <c r="K169" s="378">
        <f>('Pivot Table for Data Exchange'!$G$172)*100</f>
        <v>31.421838177533385</v>
      </c>
      <c r="L169" s="379">
        <f t="shared" ref="L169:L170" si="29">SUM(M169:O169)</f>
        <v>23.566378633150041</v>
      </c>
      <c r="M169" s="378">
        <f>('Pivot Table for Data Exchange'!$G$175)*100</f>
        <v>23.566378633150041</v>
      </c>
      <c r="N169" s="378">
        <f>('Pivot Table for Data Exchange'!$G$178)*100</f>
        <v>0</v>
      </c>
      <c r="O169" s="386">
        <f>('Pivot Table for Data Exchange'!$G$181)*100</f>
        <v>0</v>
      </c>
      <c r="P169" s="378">
        <f>('Pivot Table for Data Exchange'!$G$184)*100</f>
        <v>0</v>
      </c>
      <c r="Q169" s="383">
        <f t="shared" si="24"/>
        <v>100</v>
      </c>
      <c r="R169" s="383">
        <f t="shared" si="25"/>
        <v>105.52500654621629</v>
      </c>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row>
    <row r="170" spans="1:41" ht="15.75" customHeight="1">
      <c r="A170" s="349" t="s">
        <v>890</v>
      </c>
      <c r="B170" s="378">
        <f>('Pivot Table for Data Exchange'!$G$187)*100</f>
        <v>0</v>
      </c>
      <c r="C170" s="378">
        <f>('Pivot Table for Data Exchange'!$G$190)*100</f>
        <v>0</v>
      </c>
      <c r="D170" s="379">
        <f t="shared" si="28"/>
        <v>0</v>
      </c>
      <c r="E170" s="378">
        <f>('Pivot Table for Data Exchange'!$G$193)*100</f>
        <v>0</v>
      </c>
      <c r="F170" s="378">
        <f>('Pivot Table for Data Exchange'!$G$196)*100</f>
        <v>0</v>
      </c>
      <c r="G170" s="386">
        <f>('Pivot Table for Data Exchange'!$G$199)*100</f>
        <v>0</v>
      </c>
      <c r="H170" s="378">
        <f>('Pivot Table for Data Exchange'!$G$202)*100</f>
        <v>0</v>
      </c>
      <c r="I170" s="384" t="s">
        <v>890</v>
      </c>
      <c r="J170" s="378">
        <f>('Pivot Table for Data Exchange'!$G$205)*100</f>
        <v>0</v>
      </c>
      <c r="K170" s="378">
        <f>('Pivot Table for Data Exchange'!$G$208)*100</f>
        <v>0</v>
      </c>
      <c r="L170" s="379">
        <f t="shared" si="29"/>
        <v>0</v>
      </c>
      <c r="M170" s="378">
        <f>('Pivot Table for Data Exchange'!$G$211)*100</f>
        <v>0</v>
      </c>
      <c r="N170" s="378">
        <f>('Pivot Table for Data Exchange'!$G$214)*100</f>
        <v>0</v>
      </c>
      <c r="O170" s="386">
        <f>('Pivot Table for Data Exchange'!$G$217)*100</f>
        <v>0</v>
      </c>
      <c r="P170" s="378">
        <f>('Pivot Table for Data Exchange'!$G$220)*100</f>
        <v>0</v>
      </c>
      <c r="Q170" s="383">
        <f t="shared" si="24"/>
        <v>0</v>
      </c>
      <c r="R170" s="383">
        <f t="shared" si="25"/>
        <v>0</v>
      </c>
      <c r="S170" s="432"/>
      <c r="T170" s="432"/>
      <c r="U170" s="432"/>
      <c r="V170" s="432"/>
      <c r="W170" s="432"/>
      <c r="X170" s="432"/>
      <c r="Y170" s="432"/>
      <c r="Z170" s="432"/>
      <c r="AA170" s="432"/>
      <c r="AB170" s="432"/>
      <c r="AC170" s="432"/>
      <c r="AD170" s="432"/>
      <c r="AE170" s="432"/>
      <c r="AF170" s="432"/>
      <c r="AG170" s="432"/>
      <c r="AH170" s="432"/>
      <c r="AI170" s="432"/>
      <c r="AJ170" s="432"/>
      <c r="AK170" s="432"/>
      <c r="AL170" s="432"/>
      <c r="AM170" s="432"/>
      <c r="AN170" s="432"/>
      <c r="AO170" s="432"/>
    </row>
    <row r="171" spans="1:41" ht="15.75" customHeight="1">
      <c r="A171" s="349" t="s">
        <v>891</v>
      </c>
      <c r="B171" s="378">
        <f>('Pivot Table for Data Exchange'!$G$223)*100</f>
        <v>87.707317073170714</v>
      </c>
      <c r="C171" s="378">
        <f>('Pivot Table for Data Exchange'!$G$226)*100</f>
        <v>0</v>
      </c>
      <c r="D171" s="379">
        <f>SUM(E171:G171)</f>
        <v>12.292682926829281</v>
      </c>
      <c r="E171" s="378">
        <f>('Pivot Table for Data Exchange'!$G$229)*100</f>
        <v>12.292682926829281</v>
      </c>
      <c r="F171" s="378">
        <f>('Pivot Table for Data Exchange'!$G$232)*100</f>
        <v>0</v>
      </c>
      <c r="G171" s="386">
        <f>('Pivot Table for Data Exchange'!$G$235)*100</f>
        <v>0</v>
      </c>
      <c r="H171" s="378">
        <f>('Pivot Table for Data Exchange'!$G$238)*100</f>
        <v>0</v>
      </c>
      <c r="I171" s="384" t="s">
        <v>891</v>
      </c>
      <c r="J171" s="378">
        <f>('Pivot Table for Data Exchange'!$G$241)*100</f>
        <v>86.111111111111114</v>
      </c>
      <c r="K171" s="378">
        <f>('Pivot Table for Data Exchange'!$G$244)*100</f>
        <v>0</v>
      </c>
      <c r="L171" s="379">
        <f>SUM(M171:O171)</f>
        <v>13.888888888888889</v>
      </c>
      <c r="M171" s="378">
        <f>('Pivot Table for Data Exchange'!$G$247)*100</f>
        <v>13.888888888888889</v>
      </c>
      <c r="N171" s="378">
        <f>('Pivot Table for Data Exchange'!$G$250)*100</f>
        <v>0</v>
      </c>
      <c r="O171" s="386">
        <f>('Pivot Table for Data Exchange'!$G$253)*100</f>
        <v>0</v>
      </c>
      <c r="P171" s="378">
        <f>('Pivot Table for Data Exchange'!$G$256)*100</f>
        <v>0</v>
      </c>
      <c r="Q171" s="383">
        <f t="shared" si="24"/>
        <v>100</v>
      </c>
      <c r="R171" s="383">
        <f t="shared" si="25"/>
        <v>100</v>
      </c>
      <c r="S171" s="432"/>
      <c r="T171" s="436"/>
      <c r="U171" s="432"/>
      <c r="V171" s="432"/>
      <c r="W171" s="432"/>
      <c r="X171" s="432"/>
      <c r="Y171" s="432"/>
      <c r="Z171" s="432"/>
      <c r="AA171" s="432"/>
      <c r="AB171" s="432"/>
      <c r="AC171" s="432"/>
      <c r="AD171" s="432"/>
      <c r="AE171" s="432"/>
      <c r="AF171" s="432"/>
      <c r="AG171" s="432"/>
      <c r="AH171" s="432"/>
      <c r="AI171" s="432"/>
      <c r="AJ171" s="432"/>
      <c r="AK171" s="432"/>
      <c r="AL171" s="432"/>
      <c r="AM171" s="432"/>
      <c r="AN171" s="432"/>
      <c r="AO171" s="432"/>
    </row>
    <row r="172" spans="1:41" ht="15.75" customHeight="1">
      <c r="A172" s="349" t="s">
        <v>892</v>
      </c>
      <c r="B172" s="378">
        <f>('Pivot Table for Data Exchange'!$G$259)*100</f>
        <v>76.907722772277225</v>
      </c>
      <c r="C172" s="378">
        <f>('Pivot Table for Data Exchange'!$G$262)*100</f>
        <v>2.4776237623762376</v>
      </c>
      <c r="D172" s="379">
        <f>SUM(E172:G172)</f>
        <v>20.614653465346535</v>
      </c>
      <c r="E172" s="378">
        <f>('Pivot Table for Data Exchange'!$G$265)*100</f>
        <v>20.614653465346535</v>
      </c>
      <c r="F172" s="378">
        <f>('Pivot Table for Data Exchange'!$G$268)*100</f>
        <v>0</v>
      </c>
      <c r="G172" s="386">
        <f>('Pivot Table for Data Exchange'!$G$271)*100</f>
        <v>0</v>
      </c>
      <c r="H172" s="378">
        <f>('Pivot Table for Data Exchange'!$G$274)*100</f>
        <v>0</v>
      </c>
      <c r="I172" s="384" t="s">
        <v>892</v>
      </c>
      <c r="J172" s="378">
        <f>('Pivot Table for Data Exchange'!$G$277)*100</f>
        <v>76.337859424920126</v>
      </c>
      <c r="K172" s="378">
        <f>('Pivot Table for Data Exchange'!$G$280)*100</f>
        <v>10.862619808306709</v>
      </c>
      <c r="L172" s="379">
        <f>SUM(M172:O172)</f>
        <v>12.799520766773162</v>
      </c>
      <c r="M172" s="378">
        <f>('Pivot Table for Data Exchange'!$G$283)*100</f>
        <v>12.799520766773162</v>
      </c>
      <c r="N172" s="378">
        <f>('Pivot Table for Data Exchange'!$G$286)*100</f>
        <v>0</v>
      </c>
      <c r="O172" s="386">
        <f>('Pivot Table for Data Exchange'!$G$289)*100</f>
        <v>0</v>
      </c>
      <c r="P172" s="378">
        <f>('Pivot Table for Data Exchange'!$G$292)*100</f>
        <v>0</v>
      </c>
      <c r="Q172" s="383">
        <f t="shared" si="24"/>
        <v>100</v>
      </c>
      <c r="R172" s="383">
        <f t="shared" si="25"/>
        <v>99.999999999999986</v>
      </c>
      <c r="S172" s="432"/>
      <c r="U172" s="432"/>
      <c r="V172" s="432"/>
      <c r="W172" s="432"/>
      <c r="X172" s="432"/>
      <c r="Y172" s="432"/>
      <c r="Z172" s="432"/>
      <c r="AA172" s="432"/>
      <c r="AB172" s="432"/>
      <c r="AC172" s="432"/>
      <c r="AD172" s="432"/>
      <c r="AE172" s="432"/>
      <c r="AF172" s="432"/>
      <c r="AG172" s="432"/>
      <c r="AH172" s="432"/>
      <c r="AI172" s="432"/>
      <c r="AJ172" s="432"/>
      <c r="AK172" s="432"/>
      <c r="AL172" s="432"/>
      <c r="AM172" s="432"/>
      <c r="AN172" s="432"/>
      <c r="AO172" s="432"/>
    </row>
    <row r="173" spans="1:41" ht="11.25" customHeight="1">
      <c r="B173" s="378"/>
      <c r="C173" s="378"/>
      <c r="D173" s="379"/>
      <c r="E173" s="378"/>
      <c r="F173" s="378"/>
      <c r="G173" s="386"/>
      <c r="H173" s="378"/>
      <c r="I173" s="384"/>
      <c r="J173" s="378"/>
      <c r="K173" s="378"/>
      <c r="L173" s="379"/>
      <c r="M173" s="378"/>
      <c r="N173" s="378"/>
      <c r="O173" s="386"/>
      <c r="P173" s="378"/>
      <c r="Q173" s="383">
        <f t="shared" si="24"/>
        <v>0</v>
      </c>
      <c r="R173" s="383">
        <f t="shared" si="25"/>
        <v>0</v>
      </c>
      <c r="S173" s="432"/>
      <c r="U173" s="432"/>
      <c r="V173" s="432"/>
      <c r="W173" s="432"/>
      <c r="X173" s="432"/>
      <c r="Y173" s="432"/>
      <c r="Z173" s="432"/>
      <c r="AA173" s="432"/>
      <c r="AB173" s="432"/>
      <c r="AC173" s="432"/>
      <c r="AD173" s="432"/>
      <c r="AE173" s="432"/>
      <c r="AF173" s="432"/>
      <c r="AG173" s="432"/>
      <c r="AH173" s="432"/>
      <c r="AI173" s="432"/>
      <c r="AJ173" s="432"/>
      <c r="AK173" s="432"/>
      <c r="AL173" s="432"/>
      <c r="AM173" s="432"/>
      <c r="AN173" s="432"/>
      <c r="AO173" s="432"/>
    </row>
    <row r="174" spans="1:41" ht="15.75" customHeight="1">
      <c r="A174" s="349" t="s">
        <v>893</v>
      </c>
      <c r="B174" s="378">
        <f>('Pivot Table for Data Exchange'!$G$295)*100</f>
        <v>48.394412443999215</v>
      </c>
      <c r="C174" s="378">
        <f>('Pivot Table for Data Exchange'!$G$298)*100</f>
        <v>0.14887163647494228</v>
      </c>
      <c r="D174" s="379">
        <f>SUM(E174:G174)</f>
        <v>51.456715919525841</v>
      </c>
      <c r="E174" s="378">
        <f>('Pivot Table for Data Exchange'!$G$301)*100</f>
        <v>51.456715919525841</v>
      </c>
      <c r="F174" s="378">
        <f>('Pivot Table for Data Exchange'!$G$304)*100</f>
        <v>0</v>
      </c>
      <c r="G174" s="386">
        <f>('Pivot Table for Data Exchange'!$G$307)*100</f>
        <v>0</v>
      </c>
      <c r="H174" s="378">
        <f>('Pivot Table for Data Exchange'!$G$310)*100</f>
        <v>0</v>
      </c>
      <c r="I174" s="384" t="s">
        <v>893</v>
      </c>
      <c r="J174" s="378">
        <f>('Pivot Table for Data Exchange'!$G$313)*100</f>
        <v>53.829604130808953</v>
      </c>
      <c r="K174" s="378">
        <f>('Pivot Table for Data Exchange'!$G$316)*100</f>
        <v>12.069707401032701</v>
      </c>
      <c r="L174" s="379">
        <f>SUM(M174:O174)</f>
        <v>34.100688468158346</v>
      </c>
      <c r="M174" s="378">
        <f>('Pivot Table for Data Exchange'!$G$319)*100</f>
        <v>34.100688468158346</v>
      </c>
      <c r="N174" s="378">
        <f>('Pivot Table for Data Exchange'!$G$322)*100</f>
        <v>0</v>
      </c>
      <c r="O174" s="386">
        <f>('Pivot Table for Data Exchange'!$G$325)*100</f>
        <v>0</v>
      </c>
      <c r="P174" s="378">
        <f>('Pivot Table for Data Exchange'!$G$328)*100</f>
        <v>0</v>
      </c>
      <c r="Q174" s="383">
        <f t="shared" si="24"/>
        <v>100</v>
      </c>
      <c r="R174" s="383">
        <f t="shared" si="25"/>
        <v>100</v>
      </c>
      <c r="S174" s="432"/>
      <c r="T174" s="432"/>
      <c r="U174" s="432"/>
      <c r="V174" s="432"/>
      <c r="W174" s="432"/>
      <c r="X174" s="432"/>
      <c r="Y174" s="432"/>
      <c r="Z174" s="432"/>
      <c r="AA174" s="432"/>
      <c r="AB174" s="432"/>
      <c r="AC174" s="432"/>
      <c r="AD174" s="432"/>
      <c r="AE174" s="432"/>
      <c r="AF174" s="432"/>
      <c r="AG174" s="432"/>
      <c r="AH174" s="432"/>
      <c r="AI174" s="432"/>
      <c r="AJ174" s="432"/>
      <c r="AK174" s="432"/>
      <c r="AL174" s="432"/>
      <c r="AM174" s="432"/>
      <c r="AN174" s="432"/>
      <c r="AO174" s="432"/>
    </row>
    <row r="175" spans="1:41" ht="15.75" customHeight="1">
      <c r="A175" s="349" t="s">
        <v>894</v>
      </c>
      <c r="B175" s="378">
        <f>('Pivot Table for Data Exchange'!$G$331)*100</f>
        <v>75.837575428260934</v>
      </c>
      <c r="C175" s="378">
        <f>('Pivot Table for Data Exchange'!$G$334)*100</f>
        <v>0.56124345811765375</v>
      </c>
      <c r="D175" s="379">
        <f>SUM(E175:G175)</f>
        <v>23.601181113621415</v>
      </c>
      <c r="E175" s="378">
        <f>('Pivot Table for Data Exchange'!$G$337)*100</f>
        <v>19.398647296021963</v>
      </c>
      <c r="F175" s="378">
        <f>('Pivot Table for Data Exchange'!$G$340)*100</f>
        <v>0.16086595933308548</v>
      </c>
      <c r="G175" s="386">
        <f>('Pivot Table for Data Exchange'!$G$343)*100</f>
        <v>4.041667858266365</v>
      </c>
      <c r="H175" s="378">
        <f>('Pivot Table for Data Exchange'!$G$346)*100</f>
        <v>0</v>
      </c>
      <c r="I175" s="384" t="s">
        <v>894</v>
      </c>
      <c r="J175" s="378">
        <f>('Pivot Table for Data Exchange'!$G$349)*100</f>
        <v>51.090674841174646</v>
      </c>
      <c r="K175" s="378">
        <f>('Pivot Table for Data Exchange'!$G$352)*100</f>
        <v>5.362299524634591</v>
      </c>
      <c r="L175" s="379">
        <f>SUM(M175:O175)</f>
        <v>43.547025634190767</v>
      </c>
      <c r="M175" s="378">
        <f>('Pivot Table for Data Exchange'!$G$355)*100</f>
        <v>35.914523079657023</v>
      </c>
      <c r="N175" s="378">
        <f>('Pivot Table for Data Exchange'!$G$358)*100</f>
        <v>0.41316806610689055</v>
      </c>
      <c r="O175" s="386">
        <f>('Pivot Table for Data Exchange'!$G$361)*100</f>
        <v>7.2193344884268509</v>
      </c>
      <c r="P175" s="378">
        <f>('Pivot Table for Data Exchange'!$G$364)*100</f>
        <v>0</v>
      </c>
      <c r="Q175" s="383">
        <f t="shared" si="24"/>
        <v>100</v>
      </c>
      <c r="R175" s="383">
        <f t="shared" si="25"/>
        <v>100</v>
      </c>
      <c r="S175" s="432"/>
      <c r="T175" s="432"/>
      <c r="U175" s="432"/>
      <c r="V175" s="432"/>
      <c r="W175" s="432"/>
      <c r="X175" s="432"/>
      <c r="Y175" s="432"/>
      <c r="Z175" s="432"/>
      <c r="AA175" s="432"/>
      <c r="AB175" s="432"/>
      <c r="AC175" s="432"/>
      <c r="AD175" s="432"/>
      <c r="AE175" s="432"/>
      <c r="AF175" s="432"/>
      <c r="AG175" s="432"/>
      <c r="AH175" s="432"/>
      <c r="AI175" s="432"/>
      <c r="AJ175" s="432"/>
      <c r="AK175" s="432"/>
      <c r="AL175" s="432"/>
      <c r="AM175" s="432"/>
      <c r="AN175" s="432"/>
      <c r="AO175" s="432"/>
    </row>
    <row r="176" spans="1:41" ht="15.75" customHeight="1">
      <c r="A176" s="349" t="s">
        <v>895</v>
      </c>
      <c r="B176" s="378">
        <f>('Pivot Table for Data Exchange'!$G$367)*100</f>
        <v>74.983767676146343</v>
      </c>
      <c r="C176" s="378">
        <f>('Pivot Table for Data Exchange'!$G$370)*100</f>
        <v>1.0422860579716089</v>
      </c>
      <c r="D176" s="379">
        <f>SUM(E176:G176)</f>
        <v>23.973946265882049</v>
      </c>
      <c r="E176" s="378">
        <f>('Pivot Table for Data Exchange'!$G$373)*100</f>
        <v>17.093149617600623</v>
      </c>
      <c r="F176" s="378">
        <f>('Pivot Table for Data Exchange'!$G$376)*100</f>
        <v>5.7534190400032807</v>
      </c>
      <c r="G176" s="386">
        <f>('Pivot Table for Data Exchange'!$G$379)*100</f>
        <v>1.1273776082781435</v>
      </c>
      <c r="H176" s="378">
        <f>('Pivot Table for Data Exchange'!$G$382)*100</f>
        <v>0</v>
      </c>
      <c r="I176" s="384" t="s">
        <v>895</v>
      </c>
      <c r="J176" s="378">
        <f>('Pivot Table for Data Exchange'!$G$385)*100</f>
        <v>48.030909233545152</v>
      </c>
      <c r="K176" s="378">
        <f>('Pivot Table for Data Exchange'!$G$388)*100</f>
        <v>2.3534949399858791E-2</v>
      </c>
      <c r="L176" s="379">
        <f>SUM(M176:O176)</f>
        <v>51.945555817054995</v>
      </c>
      <c r="M176" s="378">
        <f>('Pivot Table for Data Exchange'!$G$391)*100</f>
        <v>43.276849454773675</v>
      </c>
      <c r="N176" s="378">
        <f>('Pivot Table for Data Exchange'!$G$394)*100</f>
        <v>4.8599670510708401</v>
      </c>
      <c r="O176" s="386">
        <f>('Pivot Table for Data Exchange'!$G$397)*100</f>
        <v>3.808739311210481</v>
      </c>
      <c r="P176" s="378">
        <f>('Pivot Table for Data Exchange'!$G$400)*100</f>
        <v>0</v>
      </c>
      <c r="Q176" s="383">
        <f t="shared" si="24"/>
        <v>100</v>
      </c>
      <c r="R176" s="383">
        <f t="shared" si="25"/>
        <v>100</v>
      </c>
      <c r="S176" s="432"/>
      <c r="T176" s="436"/>
      <c r="U176" s="432"/>
      <c r="V176" s="432"/>
      <c r="W176" s="432"/>
      <c r="X176" s="432"/>
      <c r="Y176" s="432"/>
      <c r="Z176" s="432"/>
      <c r="AA176" s="432"/>
      <c r="AB176" s="432"/>
      <c r="AC176" s="432"/>
      <c r="AD176" s="432"/>
      <c r="AE176" s="432"/>
      <c r="AF176" s="432"/>
      <c r="AG176" s="432"/>
      <c r="AH176" s="432"/>
      <c r="AI176" s="432"/>
      <c r="AJ176" s="432"/>
      <c r="AK176" s="432"/>
      <c r="AL176" s="432"/>
      <c r="AM176" s="432"/>
      <c r="AN176" s="432"/>
      <c r="AO176" s="432"/>
    </row>
    <row r="177" spans="1:41" ht="15.75" customHeight="1">
      <c r="A177" s="349" t="s">
        <v>896</v>
      </c>
      <c r="B177" s="378">
        <f>('Pivot Table for Data Exchange'!$G$403)*100</f>
        <v>87.740125331692241</v>
      </c>
      <c r="C177" s="378">
        <f>('Pivot Table for Data Exchange'!$G$406)*100</f>
        <v>0.56776447700156829</v>
      </c>
      <c r="D177" s="379">
        <f>SUM(E177:G177)</f>
        <v>11.69211019130619</v>
      </c>
      <c r="E177" s="378">
        <f>('Pivot Table for Data Exchange'!$G$409)*100</f>
        <v>11.688139810348137</v>
      </c>
      <c r="F177" s="378">
        <f>('Pivot Table for Data Exchange'!$G$412)*100</f>
        <v>0</v>
      </c>
      <c r="G177" s="386">
        <f>('Pivot Table for Data Exchange'!$G$415)*100</f>
        <v>3.9703809580529251E-3</v>
      </c>
      <c r="H177" s="378">
        <f>('Pivot Table for Data Exchange'!$G$418)*100</f>
        <v>0</v>
      </c>
      <c r="I177" s="384" t="s">
        <v>896</v>
      </c>
      <c r="J177" s="378">
        <f>('Pivot Table for Data Exchange'!$G$421)*100</f>
        <v>56.983426643431834</v>
      </c>
      <c r="K177" s="378">
        <f>('Pivot Table for Data Exchange'!$G$424)*100</f>
        <v>5.0609914352452634</v>
      </c>
      <c r="L177" s="379">
        <f>SUM(M177:O177)</f>
        <v>37.955581921322903</v>
      </c>
      <c r="M177" s="378">
        <f>('Pivot Table for Data Exchange'!$G$427)*100</f>
        <v>37.955581921322903</v>
      </c>
      <c r="N177" s="378">
        <f>('Pivot Table for Data Exchange'!$G$430)*100</f>
        <v>0</v>
      </c>
      <c r="O177" s="386">
        <f>('Pivot Table for Data Exchange'!$G$433)*100</f>
        <v>0</v>
      </c>
      <c r="P177" s="378">
        <f>('Pivot Table for Data Exchange'!$G$436)*100</f>
        <v>0</v>
      </c>
      <c r="Q177" s="383">
        <f t="shared" si="24"/>
        <v>100</v>
      </c>
      <c r="R177" s="383">
        <f t="shared" si="25"/>
        <v>100</v>
      </c>
      <c r="S177" s="432"/>
      <c r="T177" s="432"/>
      <c r="U177" s="432"/>
      <c r="V177" s="432"/>
      <c r="W177" s="432"/>
      <c r="X177" s="432"/>
      <c r="Y177" s="432"/>
      <c r="Z177" s="432"/>
      <c r="AA177" s="432"/>
      <c r="AB177" s="432"/>
      <c r="AC177" s="432"/>
      <c r="AD177" s="432"/>
      <c r="AE177" s="432"/>
      <c r="AF177" s="432"/>
      <c r="AG177" s="432"/>
      <c r="AH177" s="432"/>
      <c r="AI177" s="432"/>
      <c r="AJ177" s="432"/>
      <c r="AK177" s="432"/>
      <c r="AL177" s="432"/>
      <c r="AM177" s="432"/>
      <c r="AN177" s="432"/>
      <c r="AO177" s="432"/>
    </row>
    <row r="178" spans="1:41" ht="11.25" customHeight="1">
      <c r="B178" s="378"/>
      <c r="C178" s="378"/>
      <c r="D178" s="379"/>
      <c r="E178" s="378"/>
      <c r="F178" s="378"/>
      <c r="G178" s="386"/>
      <c r="H178" s="378"/>
      <c r="I178" s="384"/>
      <c r="J178" s="378"/>
      <c r="K178" s="378"/>
      <c r="L178" s="379"/>
      <c r="M178" s="378"/>
      <c r="N178" s="378"/>
      <c r="O178" s="386"/>
      <c r="P178" s="378"/>
      <c r="Q178" s="383">
        <f t="shared" si="24"/>
        <v>0</v>
      </c>
      <c r="R178" s="383">
        <f t="shared" si="25"/>
        <v>0</v>
      </c>
      <c r="S178" s="432"/>
      <c r="T178" s="432"/>
      <c r="U178" s="432"/>
      <c r="V178" s="432"/>
      <c r="W178" s="432"/>
      <c r="X178" s="432"/>
      <c r="Y178" s="432"/>
      <c r="Z178" s="432"/>
      <c r="AA178" s="432"/>
      <c r="AB178" s="432"/>
      <c r="AC178" s="432"/>
      <c r="AD178" s="432"/>
      <c r="AE178" s="432"/>
      <c r="AF178" s="432"/>
      <c r="AG178" s="432"/>
      <c r="AH178" s="432"/>
      <c r="AI178" s="432"/>
      <c r="AJ178" s="432"/>
      <c r="AK178" s="432"/>
      <c r="AL178" s="432"/>
      <c r="AM178" s="432"/>
      <c r="AN178" s="432"/>
      <c r="AO178" s="432"/>
    </row>
    <row r="179" spans="1:41" ht="15.75" customHeight="1">
      <c r="A179" s="349" t="s">
        <v>897</v>
      </c>
      <c r="B179" s="378">
        <f>('Pivot Table for Data Exchange'!$G$439)*100</f>
        <v>80.365580020796472</v>
      </c>
      <c r="C179" s="378">
        <f>('Pivot Table for Data Exchange'!$G$442)*100</f>
        <v>4.3952301901478252</v>
      </c>
      <c r="D179" s="379">
        <f>SUM(E179:G179)</f>
        <v>15.12547810594037</v>
      </c>
      <c r="E179" s="378">
        <f>('Pivot Table for Data Exchange'!$G$445)*100</f>
        <v>12.782530966670924</v>
      </c>
      <c r="F179" s="378">
        <f>('Pivot Table for Data Exchange'!$G$448)*100</f>
        <v>2.3283531264632016</v>
      </c>
      <c r="G179" s="385">
        <f>('Pivot Table for Data Exchange'!$G$451)*100</f>
        <v>1.4594012806246238E-2</v>
      </c>
      <c r="H179" s="378">
        <f>('Pivot Table for Data Exchange'!$G$454)*100</f>
        <v>0.11371168311533526</v>
      </c>
      <c r="I179" s="384" t="s">
        <v>897</v>
      </c>
      <c r="J179" s="378">
        <f>('Pivot Table for Data Exchange'!$G$457)*100</f>
        <v>13.023531152878496</v>
      </c>
      <c r="K179" s="378">
        <f>('Pivot Table for Data Exchange'!$G$460)*100</f>
        <v>0</v>
      </c>
      <c r="L179" s="379">
        <f>SUM(M179:O179)</f>
        <v>86.976468847121495</v>
      </c>
      <c r="M179" s="378">
        <f>('Pivot Table for Data Exchange'!$G$463)*100</f>
        <v>86.976468847121495</v>
      </c>
      <c r="N179" s="390">
        <f>('Pivot Table for Data Exchange'!$G$466)*100</f>
        <v>0</v>
      </c>
      <c r="O179" s="386">
        <f>('Pivot Table for Data Exchange'!$G$469)*100</f>
        <v>0</v>
      </c>
      <c r="P179" s="378">
        <f>('Pivot Table for Data Exchange'!$G$472)*100</f>
        <v>0</v>
      </c>
      <c r="Q179" s="383">
        <f t="shared" si="24"/>
        <v>100.00000000000001</v>
      </c>
      <c r="R179" s="383">
        <f t="shared" si="25"/>
        <v>99.999999999999986</v>
      </c>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row>
    <row r="180" spans="1:41" ht="15.75" customHeight="1">
      <c r="A180" s="349" t="s">
        <v>898</v>
      </c>
      <c r="B180" s="378">
        <f>('Pivot Table for Data Exchange'!$G$475)*100</f>
        <v>58.586091285861585</v>
      </c>
      <c r="C180" s="378">
        <f>('Pivot Table for Data Exchange'!$G$478)*100</f>
        <v>4.0682083019273048</v>
      </c>
      <c r="D180" s="379">
        <f>SUM(E180:G180)</f>
        <v>37.345700412211116</v>
      </c>
      <c r="E180" s="378">
        <f>('Pivot Table for Data Exchange'!$G$481)*100</f>
        <v>34.772679998479092</v>
      </c>
      <c r="F180" s="378">
        <f>('Pivot Table for Data Exchange'!$G$484)*100</f>
        <v>1.188322101717509</v>
      </c>
      <c r="G180" s="386">
        <f>('Pivot Table for Data Exchange'!$G$487)*100</f>
        <v>1.3846983120145113</v>
      </c>
      <c r="H180" s="378">
        <f>('Pivot Table for Data Exchange'!$G$490)*100</f>
        <v>0</v>
      </c>
      <c r="I180" s="384" t="s">
        <v>898</v>
      </c>
      <c r="J180" s="378">
        <f>('Pivot Table for Data Exchange'!$G$493)*100</f>
        <v>23.775011487530808</v>
      </c>
      <c r="K180" s="378">
        <f>('Pivot Table for Data Exchange'!$G$496)*100</f>
        <v>0.46785580015873673</v>
      </c>
      <c r="L180" s="379">
        <f>SUM(M180:O180)</f>
        <v>75.757132712310465</v>
      </c>
      <c r="M180" s="378">
        <f>('Pivot Table for Data Exchange'!$G$499)*100</f>
        <v>70.180458665775518</v>
      </c>
      <c r="N180" s="378">
        <f>('Pivot Table for Data Exchange'!$G$502)*100</f>
        <v>0.32582814653912023</v>
      </c>
      <c r="O180" s="386">
        <f>('Pivot Table for Data Exchange'!$G$505)*100</f>
        <v>5.2508458999958227</v>
      </c>
      <c r="P180" s="378">
        <f>('Pivot Table for Data Exchange'!$G$508)*100</f>
        <v>0</v>
      </c>
      <c r="Q180" s="383">
        <f t="shared" si="24"/>
        <v>100</v>
      </c>
      <c r="R180" s="383">
        <f t="shared" si="25"/>
        <v>100.00000000000001</v>
      </c>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row>
    <row r="181" spans="1:41" ht="15.75" customHeight="1">
      <c r="A181" s="349" t="s">
        <v>899</v>
      </c>
      <c r="B181" s="378">
        <f>('Pivot Table for Data Exchange'!$G$511)*100</f>
        <v>99.468225427988273</v>
      </c>
      <c r="C181" s="378">
        <f>('Pivot Table for Data Exchange'!$G$514)*100</f>
        <v>0.53177457201171852</v>
      </c>
      <c r="D181" s="379">
        <f>SUM(E181:G181)</f>
        <v>0</v>
      </c>
      <c r="E181" s="378">
        <f>('Pivot Table for Data Exchange'!$G$517)*100</f>
        <v>0</v>
      </c>
      <c r="F181" s="378">
        <f>('Pivot Table for Data Exchange'!$G$520)*100</f>
        <v>0</v>
      </c>
      <c r="G181" s="386">
        <f>('Pivot Table for Data Exchange'!$G$523)*100</f>
        <v>0</v>
      </c>
      <c r="H181" s="378">
        <f>('Pivot Table for Data Exchange'!$G$526)*100</f>
        <v>0</v>
      </c>
      <c r="I181" s="384" t="s">
        <v>899</v>
      </c>
      <c r="J181" s="378">
        <f>('Pivot Table for Data Exchange'!$G$529)*100</f>
        <v>98.329425556858155</v>
      </c>
      <c r="K181" s="378">
        <f>('Pivot Table for Data Exchange'!$G$532)*100</f>
        <v>1.6705744431418523</v>
      </c>
      <c r="L181" s="379">
        <f>SUM(M181:O181)</f>
        <v>0</v>
      </c>
      <c r="M181" s="378">
        <f>('Pivot Table for Data Exchange'!$G$535)*100</f>
        <v>0</v>
      </c>
      <c r="N181" s="378">
        <f>('Pivot Table for Data Exchange'!$G$538)*100</f>
        <v>0</v>
      </c>
      <c r="O181" s="386">
        <f>('Pivot Table for Data Exchange'!$G$541)*100</f>
        <v>0</v>
      </c>
      <c r="P181" s="378">
        <f>('Pivot Table for Data Exchange'!$G$544)*100</f>
        <v>0</v>
      </c>
      <c r="Q181" s="383">
        <f t="shared" si="24"/>
        <v>99.999999999999986</v>
      </c>
      <c r="R181" s="383">
        <f t="shared" si="25"/>
        <v>100</v>
      </c>
      <c r="S181" s="432"/>
      <c r="T181" s="432"/>
      <c r="U181" s="432"/>
      <c r="V181" s="432"/>
      <c r="W181" s="432"/>
      <c r="X181" s="432"/>
      <c r="Y181" s="432"/>
      <c r="Z181" s="432"/>
      <c r="AA181" s="432"/>
      <c r="AB181" s="432"/>
      <c r="AC181" s="432"/>
      <c r="AD181" s="432"/>
      <c r="AE181" s="432"/>
      <c r="AF181" s="432"/>
      <c r="AG181" s="432"/>
      <c r="AH181" s="432"/>
      <c r="AI181" s="432"/>
      <c r="AJ181" s="432"/>
      <c r="AK181" s="432"/>
      <c r="AL181" s="432"/>
      <c r="AM181" s="432"/>
      <c r="AN181" s="432"/>
      <c r="AO181" s="432"/>
    </row>
    <row r="182" spans="1:41" ht="15.75" customHeight="1">
      <c r="A182" s="355" t="s">
        <v>900</v>
      </c>
      <c r="B182" s="391">
        <f>('Pivot Table for Data Exchange'!$G$547)*100</f>
        <v>82.49889961174361</v>
      </c>
      <c r="C182" s="391">
        <f>('Pivot Table for Data Exchange'!$G$550)*100</f>
        <v>4.2813315026376468</v>
      </c>
      <c r="D182" s="392">
        <f>SUM(E182:G182)</f>
        <v>13.219768885618745</v>
      </c>
      <c r="E182" s="391">
        <f>('Pivot Table for Data Exchange'!$G$553)*100</f>
        <v>13.18232283749072</v>
      </c>
      <c r="F182" s="391">
        <f>('Pivot Table for Data Exchange'!$G$556)*100</f>
        <v>3.7446048128026065E-2</v>
      </c>
      <c r="G182" s="393">
        <f>('Pivot Table for Data Exchange'!$G$559)*100</f>
        <v>0</v>
      </c>
      <c r="H182" s="391">
        <f>('Pivot Table for Data Exchange'!$G$562)*100</f>
        <v>0</v>
      </c>
      <c r="I182" s="394" t="s">
        <v>900</v>
      </c>
      <c r="J182" s="391">
        <f>('Pivot Table for Data Exchange'!$G$565)*100</f>
        <v>43.355209187858904</v>
      </c>
      <c r="K182" s="391">
        <f>('Pivot Table for Data Exchange'!$G$568)*100</f>
        <v>7.9801294321392771</v>
      </c>
      <c r="L182" s="392">
        <f>SUM(M182:O182)</f>
        <v>48.664661380001824</v>
      </c>
      <c r="M182" s="391">
        <f>('Pivot Table for Data Exchange'!$G$571)*100</f>
        <v>48.664661380001824</v>
      </c>
      <c r="N182" s="391">
        <f>('Pivot Table for Data Exchange'!$G$574)*100</f>
        <v>0</v>
      </c>
      <c r="O182" s="393">
        <f>('Pivot Table for Data Exchange'!$G$577)*100</f>
        <v>0</v>
      </c>
      <c r="P182" s="391">
        <f>('Pivot Table for Data Exchange'!$G$580)*100</f>
        <v>0</v>
      </c>
      <c r="Q182" s="383">
        <f t="shared" si="24"/>
        <v>100</v>
      </c>
      <c r="R182" s="383">
        <f t="shared" si="25"/>
        <v>100</v>
      </c>
      <c r="S182" s="432"/>
      <c r="T182" s="432"/>
      <c r="U182" s="432"/>
      <c r="V182" s="432"/>
      <c r="W182" s="432"/>
      <c r="X182" s="432"/>
      <c r="Y182" s="432"/>
      <c r="Z182" s="432"/>
      <c r="AA182" s="432"/>
      <c r="AB182" s="432"/>
      <c r="AC182" s="432"/>
      <c r="AD182" s="432"/>
      <c r="AE182" s="432"/>
      <c r="AF182" s="432"/>
      <c r="AG182" s="432"/>
      <c r="AH182" s="432"/>
      <c r="AI182" s="432"/>
      <c r="AJ182" s="432"/>
      <c r="AK182" s="432"/>
      <c r="AL182" s="432"/>
      <c r="AM182" s="432"/>
      <c r="AN182" s="432"/>
      <c r="AO182" s="432"/>
    </row>
    <row r="183" spans="1:41" s="422" customFormat="1" ht="13.5" customHeight="1">
      <c r="A183" s="397" t="s">
        <v>926</v>
      </c>
      <c r="B183" s="398"/>
      <c r="C183" s="398"/>
      <c r="D183" s="399"/>
      <c r="E183" s="398"/>
      <c r="F183" s="399"/>
      <c r="G183" s="399"/>
      <c r="H183" s="398"/>
      <c r="I183" s="397" t="s">
        <v>926</v>
      </c>
      <c r="J183" s="398"/>
      <c r="K183" s="398"/>
      <c r="L183" s="399"/>
      <c r="M183" s="398"/>
      <c r="N183" s="399"/>
      <c r="O183" s="399"/>
      <c r="P183" s="398"/>
      <c r="Q183" s="383">
        <f t="shared" si="24"/>
        <v>0</v>
      </c>
      <c r="R183" s="383">
        <f t="shared" si="25"/>
        <v>0</v>
      </c>
      <c r="S183" s="435"/>
      <c r="T183" s="435"/>
      <c r="U183" s="435"/>
      <c r="V183" s="435"/>
      <c r="W183" s="435"/>
      <c r="X183" s="435"/>
      <c r="Y183" s="435"/>
      <c r="Z183" s="435"/>
      <c r="AA183" s="435"/>
      <c r="AB183" s="435"/>
      <c r="AC183" s="435"/>
      <c r="AD183" s="435"/>
      <c r="AE183" s="435"/>
      <c r="AF183" s="435"/>
      <c r="AG183" s="435"/>
      <c r="AH183" s="435"/>
      <c r="AI183" s="435"/>
      <c r="AJ183" s="435"/>
      <c r="AK183" s="435"/>
      <c r="AL183" s="435"/>
      <c r="AM183" s="435"/>
      <c r="AN183" s="435"/>
      <c r="AO183" s="435"/>
    </row>
    <row r="184" spans="1:41" s="422" customFormat="1" ht="11.25" customHeight="1">
      <c r="A184" s="401"/>
      <c r="B184" s="410"/>
      <c r="C184" s="410"/>
      <c r="D184" s="410"/>
      <c r="E184" s="410"/>
      <c r="F184" s="410"/>
      <c r="G184" s="410"/>
      <c r="H184" s="410"/>
      <c r="I184" s="401"/>
      <c r="J184" s="410"/>
      <c r="K184" s="410"/>
      <c r="L184" s="410"/>
      <c r="M184" s="410"/>
      <c r="N184" s="410"/>
      <c r="O184" s="410"/>
      <c r="P184" s="410"/>
      <c r="Q184" s="383">
        <f t="shared" si="24"/>
        <v>0</v>
      </c>
      <c r="R184" s="383">
        <f t="shared" si="25"/>
        <v>0</v>
      </c>
      <c r="S184" s="435"/>
      <c r="T184" s="435"/>
      <c r="U184" s="435"/>
      <c r="V184" s="435"/>
      <c r="W184" s="435"/>
      <c r="X184" s="435"/>
      <c r="Y184" s="435"/>
      <c r="Z184" s="435"/>
      <c r="AA184" s="435"/>
      <c r="AB184" s="435"/>
      <c r="AC184" s="435"/>
      <c r="AD184" s="435"/>
      <c r="AE184" s="435"/>
      <c r="AF184" s="435"/>
      <c r="AG184" s="435"/>
      <c r="AH184" s="435"/>
      <c r="AI184" s="435"/>
      <c r="AJ184" s="435"/>
      <c r="AK184" s="435"/>
      <c r="AL184" s="435"/>
      <c r="AM184" s="435"/>
      <c r="AN184" s="435"/>
      <c r="AO184" s="435"/>
    </row>
    <row r="185" spans="1:41" s="422" customFormat="1" ht="13.5" customHeight="1">
      <c r="A185" s="407"/>
      <c r="B185" s="408"/>
      <c r="C185" s="396"/>
      <c r="D185" s="396"/>
      <c r="E185" s="396"/>
      <c r="F185" s="396"/>
      <c r="G185" s="396"/>
      <c r="H185" s="402" t="s">
        <v>1007</v>
      </c>
      <c r="I185" s="407"/>
      <c r="J185" s="396"/>
      <c r="K185" s="396"/>
      <c r="L185" s="396"/>
      <c r="M185" s="396"/>
      <c r="N185" s="396"/>
      <c r="O185" s="396"/>
      <c r="P185" s="402" t="s">
        <v>1007</v>
      </c>
      <c r="Q185" s="383">
        <f t="shared" si="24"/>
        <v>0</v>
      </c>
      <c r="R185" s="383">
        <f t="shared" si="25"/>
        <v>0</v>
      </c>
    </row>
    <row r="186" spans="1:41" ht="18">
      <c r="A186" s="344" t="s">
        <v>937</v>
      </c>
      <c r="B186" s="345"/>
      <c r="C186" s="345"/>
      <c r="D186" s="345"/>
      <c r="E186" s="345"/>
      <c r="F186" s="345"/>
      <c r="G186" s="345"/>
      <c r="H186" s="345"/>
      <c r="I186" s="344" t="s">
        <v>938</v>
      </c>
      <c r="J186" s="346"/>
      <c r="K186" s="346"/>
      <c r="L186" s="345"/>
      <c r="M186" s="346"/>
      <c r="N186" s="346"/>
      <c r="O186" s="346"/>
      <c r="P186" s="346"/>
      <c r="Q186" s="383">
        <f t="shared" si="24"/>
        <v>0</v>
      </c>
      <c r="R186" s="383">
        <f t="shared" si="25"/>
        <v>0</v>
      </c>
    </row>
    <row r="187" spans="1:41">
      <c r="A187" s="350"/>
      <c r="B187" s="346"/>
      <c r="C187" s="346"/>
      <c r="D187" s="346"/>
      <c r="E187" s="346"/>
      <c r="F187" s="346"/>
      <c r="G187" s="346"/>
      <c r="H187" s="346"/>
      <c r="I187" s="350"/>
      <c r="J187" s="346"/>
      <c r="K187" s="346"/>
      <c r="L187" s="346"/>
      <c r="M187" s="346"/>
      <c r="N187" s="346"/>
      <c r="O187" s="346"/>
      <c r="P187" s="346"/>
      <c r="Q187" s="383">
        <f t="shared" si="24"/>
        <v>0</v>
      </c>
      <c r="R187" s="383">
        <f t="shared" si="25"/>
        <v>0</v>
      </c>
    </row>
    <row r="188" spans="1:41" ht="15.75">
      <c r="A188" s="352" t="s">
        <v>906</v>
      </c>
      <c r="B188" s="346"/>
      <c r="C188" s="346"/>
      <c r="D188" s="346"/>
      <c r="E188" s="346"/>
      <c r="F188" s="346"/>
      <c r="G188" s="346"/>
      <c r="H188" s="346"/>
      <c r="I188" s="352" t="s">
        <v>907</v>
      </c>
      <c r="J188" s="346"/>
      <c r="K188" s="346"/>
      <c r="L188" s="346"/>
      <c r="M188" s="346"/>
      <c r="N188" s="346"/>
      <c r="O188" s="346"/>
      <c r="P188" s="346"/>
      <c r="Q188" s="383">
        <f t="shared" si="24"/>
        <v>0</v>
      </c>
      <c r="R188" s="383">
        <f t="shared" si="25"/>
        <v>0</v>
      </c>
    </row>
    <row r="189" spans="1:41" ht="15.75">
      <c r="A189" s="352" t="s">
        <v>972</v>
      </c>
      <c r="B189" s="346"/>
      <c r="C189" s="346"/>
      <c r="D189" s="346"/>
      <c r="E189" s="346"/>
      <c r="F189" s="346"/>
      <c r="G189" s="346"/>
      <c r="H189" s="346"/>
      <c r="I189" s="352" t="s">
        <v>972</v>
      </c>
      <c r="J189" s="346"/>
      <c r="K189" s="346"/>
      <c r="L189" s="346"/>
      <c r="M189" s="346"/>
      <c r="N189" s="346"/>
      <c r="O189" s="346"/>
      <c r="P189" s="346"/>
      <c r="Q189" s="383">
        <f t="shared" si="24"/>
        <v>0</v>
      </c>
      <c r="R189" s="383">
        <f t="shared" si="25"/>
        <v>0</v>
      </c>
    </row>
    <row r="190" spans="1:41">
      <c r="A190" s="355"/>
      <c r="B190" s="356"/>
      <c r="C190" s="356"/>
      <c r="D190" s="356"/>
      <c r="E190" s="356"/>
      <c r="F190" s="356"/>
      <c r="G190" s="356"/>
      <c r="H190" s="356"/>
      <c r="I190" s="357"/>
      <c r="L190" s="358"/>
      <c r="P190" s="355"/>
      <c r="Q190" s="383">
        <f t="shared" si="24"/>
        <v>0</v>
      </c>
      <c r="R190" s="383">
        <f t="shared" si="25"/>
        <v>0</v>
      </c>
    </row>
    <row r="191" spans="1:41" s="376" customFormat="1">
      <c r="A191" s="360"/>
      <c r="B191" s="361" t="s">
        <v>908</v>
      </c>
      <c r="C191" s="361"/>
      <c r="D191" s="361"/>
      <c r="E191" s="361"/>
      <c r="F191" s="361"/>
      <c r="G191" s="361"/>
      <c r="H191" s="362"/>
      <c r="I191" s="360"/>
      <c r="J191" s="361" t="s">
        <v>908</v>
      </c>
      <c r="K191" s="361"/>
      <c r="L191" s="361"/>
      <c r="M191" s="361"/>
      <c r="N191" s="361"/>
      <c r="O191" s="361"/>
      <c r="P191" s="362"/>
      <c r="Q191" s="383">
        <f t="shared" si="24"/>
        <v>0</v>
      </c>
      <c r="R191" s="383">
        <f t="shared" si="25"/>
        <v>0</v>
      </c>
    </row>
    <row r="192" spans="1:41" s="376" customFormat="1">
      <c r="A192" s="360"/>
      <c r="B192" s="361" t="s">
        <v>909</v>
      </c>
      <c r="C192" s="361"/>
      <c r="D192" s="506" t="s">
        <v>910</v>
      </c>
      <c r="E192" s="504"/>
      <c r="F192" s="504"/>
      <c r="G192" s="504"/>
      <c r="H192" s="368" t="s">
        <v>800</v>
      </c>
      <c r="I192" s="360"/>
      <c r="J192" s="361" t="s">
        <v>909</v>
      </c>
      <c r="K192" s="361"/>
      <c r="L192" s="506" t="s">
        <v>910</v>
      </c>
      <c r="M192" s="504"/>
      <c r="N192" s="504"/>
      <c r="O192" s="504"/>
      <c r="P192" s="368" t="s">
        <v>800</v>
      </c>
      <c r="Q192" s="383">
        <f t="shared" si="24"/>
        <v>0</v>
      </c>
      <c r="R192" s="383">
        <f t="shared" si="25"/>
        <v>0</v>
      </c>
    </row>
    <row r="193" spans="1:41" s="376" customFormat="1" ht="40.5" customHeight="1">
      <c r="A193" s="360"/>
      <c r="B193" s="369" t="s">
        <v>911</v>
      </c>
      <c r="C193" s="370" t="s">
        <v>912</v>
      </c>
      <c r="D193" s="371" t="s">
        <v>913</v>
      </c>
      <c r="E193" s="372" t="s">
        <v>10</v>
      </c>
      <c r="F193" s="369" t="s">
        <v>914</v>
      </c>
      <c r="G193" s="373" t="s">
        <v>924</v>
      </c>
      <c r="H193" s="374" t="s">
        <v>916</v>
      </c>
      <c r="I193" s="360"/>
      <c r="J193" s="369" t="s">
        <v>911</v>
      </c>
      <c r="K193" s="370" t="s">
        <v>912</v>
      </c>
      <c r="L193" s="371" t="s">
        <v>913</v>
      </c>
      <c r="M193" s="372" t="s">
        <v>10</v>
      </c>
      <c r="N193" s="369" t="s">
        <v>914</v>
      </c>
      <c r="O193" s="373" t="s">
        <v>924</v>
      </c>
      <c r="P193" s="374" t="s">
        <v>916</v>
      </c>
      <c r="Q193" s="383">
        <f t="shared" si="24"/>
        <v>0</v>
      </c>
      <c r="R193" s="383">
        <f t="shared" si="25"/>
        <v>0</v>
      </c>
      <c r="T193" s="375"/>
    </row>
    <row r="194" spans="1:41" ht="15.75" customHeight="1">
      <c r="A194" s="404" t="s">
        <v>885</v>
      </c>
      <c r="B194" s="431">
        <f>('Pivot Table for Data Exchange'!$H$7)*100</f>
        <v>19.334477355815864</v>
      </c>
      <c r="C194" s="378">
        <f>('Pivot Table for Data Exchange'!$H$10)*100</f>
        <v>3.5544281131090054</v>
      </c>
      <c r="D194" s="379">
        <f>SUM(E194:G194)</f>
        <v>77.111094531075125</v>
      </c>
      <c r="E194" s="378">
        <f>('Pivot Table for Data Exchange'!$H$13)*100</f>
        <v>77.111094531075125</v>
      </c>
      <c r="F194" s="378">
        <f>('Pivot Table for Data Exchange'!$H$16)*100</f>
        <v>0</v>
      </c>
      <c r="G194" s="382">
        <f>('Pivot Table for Data Exchange'!$H$19)*100</f>
        <v>0</v>
      </c>
      <c r="H194" s="378">
        <f>('Pivot Table for Data Exchange'!$H$22)*100</f>
        <v>0</v>
      </c>
      <c r="I194" s="381" t="s">
        <v>885</v>
      </c>
      <c r="J194" s="378">
        <f>('Pivot Table for Data Exchange'!$H$25)*100</f>
        <v>1.4563106796116505</v>
      </c>
      <c r="K194" s="378">
        <f>('Pivot Table for Data Exchange'!$H$28)*100</f>
        <v>0</v>
      </c>
      <c r="L194" s="379">
        <f>SUM(M194:O194)</f>
        <v>98.543689320388353</v>
      </c>
      <c r="M194" s="378">
        <f>('Pivot Table for Data Exchange'!$H$31)*100</f>
        <v>98.543689320388353</v>
      </c>
      <c r="N194" s="378">
        <f>('Pivot Table for Data Exchange'!$H$34)*100</f>
        <v>0</v>
      </c>
      <c r="O194" s="382">
        <f>('Pivot Table for Data Exchange'!$H$37)*100</f>
        <v>0</v>
      </c>
      <c r="P194" s="378">
        <f>('Pivot Table for Data Exchange'!$H$40)*100</f>
        <v>0</v>
      </c>
      <c r="Q194" s="383">
        <f t="shared" si="24"/>
        <v>100</v>
      </c>
      <c r="R194" s="383">
        <f t="shared" si="25"/>
        <v>100</v>
      </c>
      <c r="S194" s="432"/>
      <c r="T194" s="432"/>
      <c r="U194" s="432"/>
      <c r="V194" s="432"/>
      <c r="W194" s="432"/>
      <c r="X194" s="432"/>
      <c r="Y194" s="432"/>
      <c r="Z194" s="432"/>
      <c r="AA194" s="432"/>
      <c r="AB194" s="432"/>
      <c r="AC194" s="432"/>
      <c r="AD194" s="432"/>
      <c r="AE194" s="432"/>
      <c r="AF194" s="432"/>
      <c r="AG194" s="432"/>
      <c r="AH194" s="432"/>
      <c r="AI194" s="432"/>
      <c r="AJ194" s="432"/>
      <c r="AK194" s="432"/>
      <c r="AL194" s="432"/>
      <c r="AM194" s="432"/>
      <c r="AN194" s="432"/>
      <c r="AO194" s="432"/>
    </row>
    <row r="195" spans="1:41" ht="15.75" customHeight="1">
      <c r="A195" s="349" t="s">
        <v>886</v>
      </c>
      <c r="B195" s="378">
        <f>('Pivot Table for Data Exchange'!$H$43)*100</f>
        <v>75.966535135951005</v>
      </c>
      <c r="C195" s="378">
        <f>('Pivot Table for Data Exchange'!$H$46)*100</f>
        <v>1.8854173404920544</v>
      </c>
      <c r="D195" s="379">
        <f t="shared" ref="D195:D197" si="30">SUM(E195:G195)</f>
        <v>22.148047523556937</v>
      </c>
      <c r="E195" s="378">
        <f>('Pivot Table for Data Exchange'!$H$49)*100</f>
        <v>22.148047523556937</v>
      </c>
      <c r="F195" s="378">
        <f>('Pivot Table for Data Exchange'!$H$52)*100</f>
        <v>0</v>
      </c>
      <c r="G195" s="386">
        <f>('Pivot Table for Data Exchange'!$H$55)*100</f>
        <v>0</v>
      </c>
      <c r="H195" s="378">
        <f>('Pivot Table for Data Exchange'!$H$58)*100</f>
        <v>0</v>
      </c>
      <c r="I195" s="384" t="s">
        <v>886</v>
      </c>
      <c r="J195" s="378">
        <f>('Pivot Table for Data Exchange'!$H$61)*100</f>
        <v>70.68757539203861</v>
      </c>
      <c r="K195" s="378">
        <f>('Pivot Table for Data Exchange'!$H$64)*100</f>
        <v>0</v>
      </c>
      <c r="L195" s="379">
        <f t="shared" ref="L195:L197" si="31">SUM(M195:O195)</f>
        <v>29.3124246079614</v>
      </c>
      <c r="M195" s="378">
        <f>('Pivot Table for Data Exchange'!$H$67)*100</f>
        <v>29.3124246079614</v>
      </c>
      <c r="N195" s="378">
        <f>('Pivot Table for Data Exchange'!$H$70)*100</f>
        <v>0</v>
      </c>
      <c r="O195" s="386">
        <f>('Pivot Table for Data Exchange'!$H$73)*100</f>
        <v>0</v>
      </c>
      <c r="P195" s="378">
        <f>('Pivot Table for Data Exchange'!$H$76)*100</f>
        <v>0</v>
      </c>
      <c r="Q195" s="383">
        <f t="shared" si="24"/>
        <v>100</v>
      </c>
      <c r="R195" s="383">
        <f t="shared" si="25"/>
        <v>100.00000000000001</v>
      </c>
      <c r="S195" s="432"/>
      <c r="T195" s="432"/>
      <c r="U195" s="432"/>
      <c r="V195" s="432"/>
      <c r="W195" s="432"/>
      <c r="X195" s="432"/>
      <c r="Y195" s="432"/>
      <c r="Z195" s="432"/>
      <c r="AA195" s="432"/>
      <c r="AB195" s="432"/>
      <c r="AC195" s="432"/>
      <c r="AD195" s="432"/>
      <c r="AE195" s="432"/>
      <c r="AF195" s="432"/>
      <c r="AG195" s="432"/>
      <c r="AH195" s="432"/>
      <c r="AI195" s="432"/>
      <c r="AJ195" s="432"/>
      <c r="AK195" s="432"/>
      <c r="AL195" s="432"/>
      <c r="AM195" s="432"/>
      <c r="AN195" s="432"/>
      <c r="AO195" s="432"/>
    </row>
    <row r="196" spans="1:41" ht="15.75" customHeight="1">
      <c r="A196" s="349" t="s">
        <v>887</v>
      </c>
      <c r="B196" s="378">
        <f>('Pivot Table for Data Exchange'!$H$79)*100</f>
        <v>0</v>
      </c>
      <c r="C196" s="378">
        <f>('Pivot Table for Data Exchange'!$H$82)*100</f>
        <v>0</v>
      </c>
      <c r="D196" s="379">
        <f t="shared" si="30"/>
        <v>0</v>
      </c>
      <c r="E196" s="378">
        <f>('Pivot Table for Data Exchange'!$H$85)*100</f>
        <v>0</v>
      </c>
      <c r="F196" s="378">
        <f>('Pivot Table for Data Exchange'!$H$88)*100</f>
        <v>0</v>
      </c>
      <c r="G196" s="386">
        <f>('Pivot Table for Data Exchange'!$H$91)*100</f>
        <v>0</v>
      </c>
      <c r="H196" s="378">
        <f>('Pivot Table for Data Exchange'!$H$94)*100</f>
        <v>0</v>
      </c>
      <c r="I196" s="384" t="s">
        <v>887</v>
      </c>
      <c r="J196" s="378">
        <f>('Pivot Table for Data Exchange'!$H$97)*100</f>
        <v>0</v>
      </c>
      <c r="K196" s="378">
        <f>('Pivot Table for Data Exchange'!$H$100)*100</f>
        <v>0</v>
      </c>
      <c r="L196" s="379">
        <f t="shared" si="31"/>
        <v>0</v>
      </c>
      <c r="M196" s="378">
        <f>('Pivot Table for Data Exchange'!$H$103)*100</f>
        <v>0</v>
      </c>
      <c r="N196" s="378">
        <f>('Pivot Table for Data Exchange'!$H$106)*100</f>
        <v>0</v>
      </c>
      <c r="O196" s="386">
        <f>('Pivot Table for Data Exchange'!$H$109)*100</f>
        <v>0</v>
      </c>
      <c r="P196" s="378">
        <f>('Pivot Table for Data Exchange'!$H$112)*100</f>
        <v>0</v>
      </c>
      <c r="Q196" s="383">
        <f t="shared" si="24"/>
        <v>0</v>
      </c>
      <c r="R196" s="383">
        <f t="shared" si="25"/>
        <v>0</v>
      </c>
      <c r="S196" s="432"/>
      <c r="T196" s="436"/>
      <c r="U196" s="432"/>
      <c r="V196" s="432"/>
      <c r="W196" s="432"/>
      <c r="X196" s="432"/>
      <c r="Y196" s="432"/>
      <c r="Z196" s="432"/>
      <c r="AA196" s="432"/>
      <c r="AB196" s="432"/>
      <c r="AC196" s="432"/>
      <c r="AD196" s="432"/>
      <c r="AE196" s="432"/>
      <c r="AF196" s="432"/>
      <c r="AG196" s="432"/>
      <c r="AH196" s="432"/>
      <c r="AI196" s="432"/>
      <c r="AJ196" s="432"/>
      <c r="AK196" s="432"/>
      <c r="AL196" s="432"/>
      <c r="AM196" s="432"/>
      <c r="AN196" s="432"/>
      <c r="AO196" s="432"/>
    </row>
    <row r="197" spans="1:41" ht="15.75" customHeight="1">
      <c r="A197" s="349" t="s">
        <v>925</v>
      </c>
      <c r="B197" s="378">
        <f>('Pivot Table for Data Exchange'!$H$115)*100</f>
        <v>0</v>
      </c>
      <c r="C197" s="378">
        <f>('Pivot Table for Data Exchange'!$H$118)*100</f>
        <v>0</v>
      </c>
      <c r="D197" s="379">
        <f t="shared" si="30"/>
        <v>0</v>
      </c>
      <c r="E197" s="378">
        <f>('Pivot Table for Data Exchange'!$H$121)*100</f>
        <v>0</v>
      </c>
      <c r="F197" s="378">
        <f>('Pivot Table for Data Exchange'!$H$124)*100</f>
        <v>0</v>
      </c>
      <c r="G197" s="386">
        <f>('Pivot Table for Data Exchange'!$H$127)*100</f>
        <v>0</v>
      </c>
      <c r="H197" s="378">
        <f>('Pivot Table for Data Exchange'!$H$130)*100</f>
        <v>0</v>
      </c>
      <c r="I197" s="384" t="s">
        <v>888</v>
      </c>
      <c r="J197" s="378">
        <f>('Pivot Table for Data Exchange'!$H$133)*100</f>
        <v>0</v>
      </c>
      <c r="K197" s="378">
        <f>('Pivot Table for Data Exchange'!$H$136)*100</f>
        <v>0</v>
      </c>
      <c r="L197" s="379">
        <f t="shared" si="31"/>
        <v>0</v>
      </c>
      <c r="M197" s="378">
        <f>('Pivot Table for Data Exchange'!$H$139)*100</f>
        <v>0</v>
      </c>
      <c r="N197" s="378">
        <f>('Pivot Table for Data Exchange'!$H$142)*100</f>
        <v>0</v>
      </c>
      <c r="O197" s="386">
        <f>('Pivot Table for Data Exchange'!$H$145)*100</f>
        <v>0</v>
      </c>
      <c r="P197" s="378">
        <f>('Pivot Table for Data Exchange'!$H$148)*100</f>
        <v>0</v>
      </c>
      <c r="Q197" s="383">
        <f t="shared" si="24"/>
        <v>0</v>
      </c>
      <c r="R197" s="383">
        <f t="shared" si="25"/>
        <v>0</v>
      </c>
      <c r="S197" s="432"/>
      <c r="U197" s="432"/>
      <c r="V197" s="432"/>
      <c r="W197" s="432"/>
      <c r="X197" s="432"/>
      <c r="Y197" s="432"/>
      <c r="Z197" s="432"/>
      <c r="AA197" s="432"/>
      <c r="AB197" s="432"/>
      <c r="AC197" s="432"/>
      <c r="AD197" s="432"/>
      <c r="AE197" s="432"/>
      <c r="AF197" s="432"/>
      <c r="AG197" s="432"/>
      <c r="AH197" s="432"/>
      <c r="AI197" s="432"/>
      <c r="AJ197" s="432"/>
      <c r="AK197" s="432"/>
      <c r="AL197" s="432"/>
      <c r="AM197" s="432"/>
      <c r="AN197" s="432"/>
      <c r="AO197" s="432"/>
    </row>
    <row r="198" spans="1:41" ht="15.75" customHeight="1">
      <c r="B198" s="378"/>
      <c r="C198" s="378"/>
      <c r="D198" s="379"/>
      <c r="E198" s="378"/>
      <c r="F198" s="378"/>
      <c r="G198" s="386"/>
      <c r="H198" s="378"/>
      <c r="I198" s="384"/>
      <c r="J198" s="378"/>
      <c r="K198" s="378"/>
      <c r="L198" s="379"/>
      <c r="M198" s="378"/>
      <c r="N198" s="378"/>
      <c r="O198" s="386"/>
      <c r="P198" s="378"/>
      <c r="Q198" s="383">
        <f t="shared" si="24"/>
        <v>0</v>
      </c>
      <c r="R198" s="383">
        <f t="shared" si="25"/>
        <v>0</v>
      </c>
      <c r="S198" s="432"/>
      <c r="U198" s="432"/>
      <c r="V198" s="432"/>
      <c r="W198" s="432"/>
      <c r="X198" s="432"/>
      <c r="Y198" s="432"/>
      <c r="Z198" s="432"/>
      <c r="AA198" s="432"/>
      <c r="AB198" s="432"/>
      <c r="AC198" s="432"/>
      <c r="AD198" s="432"/>
      <c r="AE198" s="432"/>
      <c r="AF198" s="432"/>
      <c r="AG198" s="432"/>
      <c r="AH198" s="432"/>
      <c r="AI198" s="432"/>
      <c r="AJ198" s="432"/>
      <c r="AK198" s="432"/>
      <c r="AL198" s="432"/>
      <c r="AM198" s="432"/>
      <c r="AN198" s="432"/>
      <c r="AO198" s="432"/>
    </row>
    <row r="199" spans="1:41" ht="15.75" customHeight="1">
      <c r="A199" s="349" t="s">
        <v>889</v>
      </c>
      <c r="B199" s="378">
        <f>('Pivot Table for Data Exchange'!$H$151)*100</f>
        <v>85.098144654599068</v>
      </c>
      <c r="C199" s="378">
        <f>('Pivot Table for Data Exchange'!$H$154)*100</f>
        <v>1.0710450001403438</v>
      </c>
      <c r="D199" s="379">
        <f t="shared" ref="D199:D200" si="32">SUM(E199:G199)</f>
        <v>13.83081034526059</v>
      </c>
      <c r="E199" s="378">
        <f>('Pivot Table for Data Exchange'!$H$157)*100</f>
        <v>13.466507314868025</v>
      </c>
      <c r="F199" s="378">
        <f>('Pivot Table for Data Exchange'!$H$160)*100</f>
        <v>0.36430303039256384</v>
      </c>
      <c r="G199" s="386">
        <f>('Pivot Table for Data Exchange'!$H$163)*100</f>
        <v>0</v>
      </c>
      <c r="H199" s="378">
        <f>('Pivot Table for Data Exchange'!$H$166)*100</f>
        <v>0</v>
      </c>
      <c r="I199" s="384" t="s">
        <v>889</v>
      </c>
      <c r="J199" s="378">
        <f>('Pivot Table for Data Exchange'!$H$169)*100</f>
        <v>8.9775561097256862</v>
      </c>
      <c r="K199" s="378">
        <f>('Pivot Table for Data Exchange'!$H$172)*100</f>
        <v>0</v>
      </c>
      <c r="L199" s="379">
        <f t="shared" ref="L199:L200" si="33">SUM(M199:O199)</f>
        <v>146.55029093931836</v>
      </c>
      <c r="M199" s="378">
        <f>('Pivot Table for Data Exchange'!$H$175)*100</f>
        <v>146.55029093931836</v>
      </c>
      <c r="N199" s="378">
        <f>('Pivot Table for Data Exchange'!$H$178)*100</f>
        <v>0</v>
      </c>
      <c r="O199" s="386">
        <f>('Pivot Table for Data Exchange'!$H$181)*100</f>
        <v>0</v>
      </c>
      <c r="P199" s="378">
        <f>('Pivot Table for Data Exchange'!$H$184)*100</f>
        <v>0</v>
      </c>
      <c r="Q199" s="383">
        <f t="shared" si="24"/>
        <v>100</v>
      </c>
      <c r="R199" s="383">
        <f t="shared" si="25"/>
        <v>155.52784704904406</v>
      </c>
      <c r="S199" s="432"/>
      <c r="T199" s="432"/>
      <c r="U199" s="432"/>
      <c r="V199" s="432"/>
      <c r="W199" s="432"/>
      <c r="X199" s="432"/>
      <c r="Y199" s="432"/>
      <c r="Z199" s="432"/>
      <c r="AA199" s="432"/>
      <c r="AB199" s="432"/>
      <c r="AC199" s="432"/>
      <c r="AD199" s="432"/>
      <c r="AE199" s="432"/>
      <c r="AF199" s="432"/>
      <c r="AG199" s="432"/>
      <c r="AH199" s="432"/>
      <c r="AI199" s="432"/>
      <c r="AJ199" s="432"/>
      <c r="AK199" s="432"/>
      <c r="AL199" s="432"/>
      <c r="AM199" s="432"/>
      <c r="AN199" s="432"/>
      <c r="AO199" s="432"/>
    </row>
    <row r="200" spans="1:41" ht="15.75" customHeight="1">
      <c r="A200" s="349" t="s">
        <v>890</v>
      </c>
      <c r="B200" s="378">
        <f>('Pivot Table for Data Exchange'!$H$187)*100</f>
        <v>0</v>
      </c>
      <c r="C200" s="378">
        <f>('Pivot Table for Data Exchange'!$H$190)*100</f>
        <v>0</v>
      </c>
      <c r="D200" s="379">
        <f t="shared" si="32"/>
        <v>0</v>
      </c>
      <c r="E200" s="378">
        <f>('Pivot Table for Data Exchange'!$H$193)*100</f>
        <v>0</v>
      </c>
      <c r="F200" s="378">
        <f>('Pivot Table for Data Exchange'!$H$196)*100</f>
        <v>0</v>
      </c>
      <c r="G200" s="386">
        <f>('Pivot Table for Data Exchange'!$H$199)*100</f>
        <v>0</v>
      </c>
      <c r="H200" s="378">
        <f>('Pivot Table for Data Exchange'!$H$202)*100</f>
        <v>0</v>
      </c>
      <c r="I200" s="384" t="s">
        <v>890</v>
      </c>
      <c r="J200" s="378">
        <f>('Pivot Table for Data Exchange'!$H$205)*100</f>
        <v>0</v>
      </c>
      <c r="K200" s="378">
        <f>('Pivot Table for Data Exchange'!$H$208)*100</f>
        <v>0</v>
      </c>
      <c r="L200" s="379">
        <f t="shared" si="33"/>
        <v>0</v>
      </c>
      <c r="M200" s="378">
        <f>('Pivot Table for Data Exchange'!$H$211)*100</f>
        <v>0</v>
      </c>
      <c r="N200" s="378">
        <f>('Pivot Table for Data Exchange'!$H$214)*100</f>
        <v>0</v>
      </c>
      <c r="O200" s="386">
        <f>('Pivot Table for Data Exchange'!$H$217)*100</f>
        <v>0</v>
      </c>
      <c r="P200" s="378">
        <f>('Pivot Table for Data Exchange'!$H$220)*100</f>
        <v>0</v>
      </c>
      <c r="Q200" s="383">
        <f t="shared" si="24"/>
        <v>0</v>
      </c>
      <c r="R200" s="383">
        <f t="shared" si="25"/>
        <v>0</v>
      </c>
      <c r="S200" s="432"/>
      <c r="T200" s="432"/>
      <c r="U200" s="432"/>
      <c r="V200" s="432"/>
      <c r="W200" s="432"/>
      <c r="X200" s="432"/>
      <c r="Y200" s="432"/>
      <c r="Z200" s="432"/>
      <c r="AA200" s="432"/>
      <c r="AB200" s="432"/>
      <c r="AC200" s="432"/>
      <c r="AD200" s="432"/>
      <c r="AE200" s="432"/>
      <c r="AF200" s="432"/>
      <c r="AG200" s="432"/>
      <c r="AH200" s="432"/>
      <c r="AI200" s="432"/>
      <c r="AJ200" s="432"/>
      <c r="AK200" s="432"/>
      <c r="AL200" s="432"/>
      <c r="AM200" s="432"/>
      <c r="AN200" s="432"/>
      <c r="AO200" s="432"/>
    </row>
    <row r="201" spans="1:41" ht="15.75" customHeight="1">
      <c r="A201" s="349" t="s">
        <v>891</v>
      </c>
      <c r="B201" s="378">
        <f>('Pivot Table for Data Exchange'!$H$223)*100</f>
        <v>64.48</v>
      </c>
      <c r="C201" s="378">
        <f>('Pivot Table for Data Exchange'!$H$226)*100</f>
        <v>0</v>
      </c>
      <c r="D201" s="379">
        <f>SUM(E201:G201)</f>
        <v>35.520000000000003</v>
      </c>
      <c r="E201" s="378">
        <f>('Pivot Table for Data Exchange'!$H$229)*100</f>
        <v>35.520000000000003</v>
      </c>
      <c r="F201" s="378">
        <f>('Pivot Table for Data Exchange'!$H$232)*100</f>
        <v>0</v>
      </c>
      <c r="G201" s="386">
        <f>('Pivot Table for Data Exchange'!$H$235)*100</f>
        <v>0</v>
      </c>
      <c r="H201" s="378">
        <f>('Pivot Table for Data Exchange'!$H$238)*100</f>
        <v>0</v>
      </c>
      <c r="I201" s="384" t="s">
        <v>891</v>
      </c>
      <c r="J201" s="378">
        <f>('Pivot Table for Data Exchange'!$H$241)*100</f>
        <v>0</v>
      </c>
      <c r="K201" s="378">
        <f>('Pivot Table for Data Exchange'!$H$244)*100</f>
        <v>0</v>
      </c>
      <c r="L201" s="379">
        <f>SUM(M201:O201)</f>
        <v>0</v>
      </c>
      <c r="M201" s="378">
        <f>('Pivot Table for Data Exchange'!$H$247)*100</f>
        <v>0</v>
      </c>
      <c r="N201" s="378">
        <f>('Pivot Table for Data Exchange'!$H$250)*100</f>
        <v>0</v>
      </c>
      <c r="O201" s="386">
        <f>('Pivot Table for Data Exchange'!$H$253)*100</f>
        <v>0</v>
      </c>
      <c r="P201" s="378">
        <f>('Pivot Table for Data Exchange'!$H$256)*100</f>
        <v>0</v>
      </c>
      <c r="Q201" s="383">
        <f t="shared" si="24"/>
        <v>100</v>
      </c>
      <c r="R201" s="383">
        <f t="shared" si="25"/>
        <v>0</v>
      </c>
      <c r="S201" s="432"/>
      <c r="T201" s="436"/>
      <c r="U201" s="432"/>
      <c r="V201" s="432"/>
      <c r="W201" s="432"/>
      <c r="X201" s="432"/>
      <c r="Y201" s="432"/>
      <c r="Z201" s="432"/>
      <c r="AA201" s="432"/>
      <c r="AB201" s="432"/>
      <c r="AC201" s="432"/>
      <c r="AD201" s="432"/>
      <c r="AE201" s="432"/>
      <c r="AF201" s="432"/>
      <c r="AG201" s="432"/>
      <c r="AH201" s="432"/>
      <c r="AI201" s="432"/>
      <c r="AJ201" s="432"/>
      <c r="AK201" s="432"/>
      <c r="AL201" s="432"/>
      <c r="AM201" s="432"/>
      <c r="AN201" s="432"/>
      <c r="AO201" s="432"/>
    </row>
    <row r="202" spans="1:41" ht="15.75" customHeight="1">
      <c r="A202" s="349" t="s">
        <v>892</v>
      </c>
      <c r="B202" s="378">
        <f>('Pivot Table for Data Exchange'!$H$259)*100</f>
        <v>100</v>
      </c>
      <c r="C202" s="378">
        <f>('Pivot Table for Data Exchange'!$H$262)*100</f>
        <v>0</v>
      </c>
      <c r="D202" s="379">
        <f>SUM(E202:G202)</f>
        <v>0</v>
      </c>
      <c r="E202" s="378">
        <f>('Pivot Table for Data Exchange'!$H$265)*100</f>
        <v>0</v>
      </c>
      <c r="F202" s="378">
        <f>('Pivot Table for Data Exchange'!$H$268)*100</f>
        <v>0</v>
      </c>
      <c r="G202" s="386">
        <f>('Pivot Table for Data Exchange'!$H$271)*100</f>
        <v>0</v>
      </c>
      <c r="H202" s="378">
        <f>('Pivot Table for Data Exchange'!$H$274)*100</f>
        <v>0</v>
      </c>
      <c r="I202" s="384" t="s">
        <v>892</v>
      </c>
      <c r="J202" s="378">
        <f>('Pivot Table for Data Exchange'!$H$277)*100</f>
        <v>100</v>
      </c>
      <c r="K202" s="378">
        <f>('Pivot Table for Data Exchange'!$H$280)*100</f>
        <v>0</v>
      </c>
      <c r="L202" s="379">
        <f>SUM(M202:O202)</f>
        <v>0</v>
      </c>
      <c r="M202" s="378">
        <f>('Pivot Table for Data Exchange'!$H$283)*100</f>
        <v>0</v>
      </c>
      <c r="N202" s="378">
        <f>('Pivot Table for Data Exchange'!$H$286)*100</f>
        <v>0</v>
      </c>
      <c r="O202" s="386">
        <f>('Pivot Table for Data Exchange'!$H$289)*100</f>
        <v>0</v>
      </c>
      <c r="P202" s="378">
        <f>('Pivot Table for Data Exchange'!$H$292)*100</f>
        <v>0</v>
      </c>
      <c r="Q202" s="383">
        <f t="shared" si="24"/>
        <v>100</v>
      </c>
      <c r="R202" s="383">
        <f t="shared" si="25"/>
        <v>100</v>
      </c>
      <c r="S202" s="432"/>
      <c r="U202" s="432"/>
      <c r="V202" s="432"/>
      <c r="W202" s="432"/>
      <c r="X202" s="432"/>
      <c r="Y202" s="432"/>
      <c r="Z202" s="432"/>
      <c r="AA202" s="432"/>
      <c r="AB202" s="432"/>
      <c r="AC202" s="432"/>
      <c r="AD202" s="432"/>
      <c r="AE202" s="432"/>
      <c r="AF202" s="432"/>
      <c r="AG202" s="432"/>
      <c r="AH202" s="432"/>
      <c r="AI202" s="432"/>
      <c r="AJ202" s="432"/>
      <c r="AK202" s="432"/>
      <c r="AL202" s="432"/>
      <c r="AM202" s="432"/>
      <c r="AN202" s="432"/>
      <c r="AO202" s="432"/>
    </row>
    <row r="203" spans="1:41" ht="11.25" customHeight="1">
      <c r="B203" s="378"/>
      <c r="C203" s="378"/>
      <c r="D203" s="379"/>
      <c r="E203" s="378"/>
      <c r="F203" s="378"/>
      <c r="G203" s="386"/>
      <c r="H203" s="378"/>
      <c r="I203" s="384"/>
      <c r="J203" s="378"/>
      <c r="K203" s="378"/>
      <c r="L203" s="379"/>
      <c r="M203" s="378"/>
      <c r="N203" s="378"/>
      <c r="O203" s="386"/>
      <c r="P203" s="378"/>
      <c r="Q203" s="383">
        <f t="shared" si="24"/>
        <v>0</v>
      </c>
      <c r="R203" s="383">
        <f t="shared" si="25"/>
        <v>0</v>
      </c>
      <c r="S203" s="432"/>
      <c r="U203" s="432"/>
      <c r="V203" s="432"/>
      <c r="W203" s="432"/>
      <c r="X203" s="432"/>
      <c r="Y203" s="432"/>
      <c r="Z203" s="432"/>
      <c r="AA203" s="432"/>
      <c r="AB203" s="432"/>
      <c r="AC203" s="432"/>
      <c r="AD203" s="432"/>
      <c r="AE203" s="432"/>
      <c r="AF203" s="432"/>
      <c r="AG203" s="432"/>
      <c r="AH203" s="432"/>
      <c r="AI203" s="432"/>
      <c r="AJ203" s="432"/>
      <c r="AK203" s="432"/>
      <c r="AL203" s="432"/>
      <c r="AM203" s="432"/>
      <c r="AN203" s="432"/>
      <c r="AO203" s="432"/>
    </row>
    <row r="204" spans="1:41" ht="15.75" customHeight="1">
      <c r="A204" s="349" t="s">
        <v>893</v>
      </c>
      <c r="B204" s="378">
        <f>('Pivot Table for Data Exchange'!$H$295)*100</f>
        <v>0</v>
      </c>
      <c r="C204" s="378">
        <f>('Pivot Table for Data Exchange'!$H$298)*100</f>
        <v>0</v>
      </c>
      <c r="D204" s="379">
        <f>SUM(E204:G204)</f>
        <v>0</v>
      </c>
      <c r="E204" s="378">
        <f>('Pivot Table for Data Exchange'!$H$301)*100</f>
        <v>0</v>
      </c>
      <c r="F204" s="378">
        <f>('Pivot Table for Data Exchange'!$H$304)*100</f>
        <v>0</v>
      </c>
      <c r="G204" s="386">
        <f>('Pivot Table for Data Exchange'!$H$307)*100</f>
        <v>0</v>
      </c>
      <c r="H204" s="378">
        <f>('Pivot Table for Data Exchange'!$H$310)*100</f>
        <v>0</v>
      </c>
      <c r="I204" s="384" t="s">
        <v>893</v>
      </c>
      <c r="J204" s="378">
        <f>('Pivot Table for Data Exchange'!$H$313)*100</f>
        <v>0</v>
      </c>
      <c r="K204" s="378">
        <f>('Pivot Table for Data Exchange'!$H$316)*100</f>
        <v>0</v>
      </c>
      <c r="L204" s="379">
        <f>SUM(M204:O204)</f>
        <v>0</v>
      </c>
      <c r="M204" s="378">
        <f>('Pivot Table for Data Exchange'!$H$319)*100</f>
        <v>0</v>
      </c>
      <c r="N204" s="378">
        <f>('Pivot Table for Data Exchange'!$H$322)*100</f>
        <v>0</v>
      </c>
      <c r="O204" s="386">
        <f>('Pivot Table for Data Exchange'!$H$325)*100</f>
        <v>0</v>
      </c>
      <c r="P204" s="378">
        <f>('Pivot Table for Data Exchange'!$H$328)*100</f>
        <v>0</v>
      </c>
      <c r="Q204" s="383">
        <f t="shared" si="24"/>
        <v>0</v>
      </c>
      <c r="R204" s="383">
        <f t="shared" si="25"/>
        <v>0</v>
      </c>
      <c r="S204" s="432"/>
      <c r="T204" s="432"/>
      <c r="U204" s="432"/>
      <c r="V204" s="432"/>
      <c r="W204" s="432"/>
      <c r="X204" s="432"/>
      <c r="Y204" s="432"/>
      <c r="Z204" s="432"/>
      <c r="AA204" s="432"/>
      <c r="AB204" s="432"/>
      <c r="AC204" s="432"/>
      <c r="AD204" s="432"/>
      <c r="AE204" s="432"/>
      <c r="AF204" s="432"/>
      <c r="AG204" s="432"/>
      <c r="AH204" s="432"/>
      <c r="AI204" s="432"/>
      <c r="AJ204" s="432"/>
      <c r="AK204" s="432"/>
      <c r="AL204" s="432"/>
      <c r="AM204" s="432"/>
      <c r="AN204" s="432"/>
      <c r="AO204" s="432"/>
    </row>
    <row r="205" spans="1:41" ht="15.75" customHeight="1">
      <c r="A205" s="349" t="s">
        <v>894</v>
      </c>
      <c r="B205" s="378">
        <f>('Pivot Table for Data Exchange'!$H$331)*100</f>
        <v>92.998764823898156</v>
      </c>
      <c r="C205" s="378">
        <f>('Pivot Table for Data Exchange'!$H$334)*100</f>
        <v>0.67399204632267373</v>
      </c>
      <c r="D205" s="379">
        <f>SUM(E205:G205)</f>
        <v>6.3272431297791671</v>
      </c>
      <c r="E205" s="378">
        <f>('Pivot Table for Data Exchange'!$H$337)*100</f>
        <v>4.4130771592377602</v>
      </c>
      <c r="F205" s="378">
        <f>('Pivot Table for Data Exchange'!$H$340)*100</f>
        <v>1.9141659705414069</v>
      </c>
      <c r="G205" s="386">
        <f>('Pivot Table for Data Exchange'!$H$343)*100</f>
        <v>0</v>
      </c>
      <c r="H205" s="378">
        <f>('Pivot Table for Data Exchange'!$H$346)*100</f>
        <v>0</v>
      </c>
      <c r="I205" s="384" t="s">
        <v>894</v>
      </c>
      <c r="J205" s="378">
        <f>('Pivot Table for Data Exchange'!$H$349)*100</f>
        <v>88.246816846229194</v>
      </c>
      <c r="K205" s="378">
        <f>('Pivot Table for Data Exchange'!$H$352)*100</f>
        <v>0</v>
      </c>
      <c r="L205" s="379">
        <f>SUM(M205:O205)</f>
        <v>11.753183153770813</v>
      </c>
      <c r="M205" s="378">
        <f>('Pivot Table for Data Exchange'!$H$355)*100</f>
        <v>11.753183153770813</v>
      </c>
      <c r="N205" s="378">
        <f>('Pivot Table for Data Exchange'!$H$358)*100</f>
        <v>0</v>
      </c>
      <c r="O205" s="386">
        <f>('Pivot Table for Data Exchange'!$H$361)*100</f>
        <v>0</v>
      </c>
      <c r="P205" s="378">
        <f>('Pivot Table for Data Exchange'!$H$364)*100</f>
        <v>0</v>
      </c>
      <c r="Q205" s="383">
        <f t="shared" si="24"/>
        <v>99.999999999999986</v>
      </c>
      <c r="R205" s="383">
        <f t="shared" si="25"/>
        <v>100</v>
      </c>
      <c r="S205" s="432"/>
      <c r="T205" s="432"/>
      <c r="U205" s="432"/>
      <c r="V205" s="432"/>
      <c r="W205" s="432"/>
      <c r="X205" s="432"/>
      <c r="Y205" s="432"/>
      <c r="Z205" s="432"/>
      <c r="AA205" s="432"/>
      <c r="AB205" s="432"/>
      <c r="AC205" s="432"/>
      <c r="AD205" s="432"/>
      <c r="AE205" s="432"/>
      <c r="AF205" s="432"/>
      <c r="AG205" s="432"/>
      <c r="AH205" s="432"/>
      <c r="AI205" s="432"/>
      <c r="AJ205" s="432"/>
      <c r="AK205" s="432"/>
      <c r="AL205" s="432"/>
      <c r="AM205" s="432"/>
      <c r="AN205" s="432"/>
      <c r="AO205" s="432"/>
    </row>
    <row r="206" spans="1:41" ht="15.75" customHeight="1">
      <c r="A206" s="349" t="s">
        <v>895</v>
      </c>
      <c r="B206" s="378">
        <f>('Pivot Table for Data Exchange'!$H$367)*100</f>
        <v>76.996793601614016</v>
      </c>
      <c r="C206" s="378">
        <f>('Pivot Table for Data Exchange'!$H$370)*100</f>
        <v>2.8101019562632851E-2</v>
      </c>
      <c r="D206" s="379">
        <f>SUM(E206:G206)</f>
        <v>22.934755196887274</v>
      </c>
      <c r="E206" s="378">
        <f>('Pivot Table for Data Exchange'!$H$373)*100</f>
        <v>21.687502251684261</v>
      </c>
      <c r="F206" s="378">
        <f>('Pivot Table for Data Exchange'!$H$376)*100</f>
        <v>1.2429297114241451</v>
      </c>
      <c r="G206" s="386">
        <f>('Pivot Table for Data Exchange'!$H$379)*100</f>
        <v>4.323233778866592E-3</v>
      </c>
      <c r="H206" s="378">
        <f>('Pivot Table for Data Exchange'!$H$382)*100</f>
        <v>4.0350181936088192E-2</v>
      </c>
      <c r="I206" s="384" t="s">
        <v>895</v>
      </c>
      <c r="J206" s="378">
        <f>('Pivot Table for Data Exchange'!$H$385)*100</f>
        <v>91.071428571428569</v>
      </c>
      <c r="K206" s="378">
        <f>('Pivot Table for Data Exchange'!$H$388)*100</f>
        <v>0</v>
      </c>
      <c r="L206" s="379">
        <f>SUM(M206:O206)</f>
        <v>8.9285714285714288</v>
      </c>
      <c r="M206" s="378">
        <f>('Pivot Table for Data Exchange'!$H$391)*100</f>
        <v>8.9285714285714288</v>
      </c>
      <c r="N206" s="378">
        <f>('Pivot Table for Data Exchange'!$H$394)*100</f>
        <v>0</v>
      </c>
      <c r="O206" s="386">
        <f>('Pivot Table for Data Exchange'!$H$397)*100</f>
        <v>0</v>
      </c>
      <c r="P206" s="378">
        <f>('Pivot Table for Data Exchange'!$H$400)*100</f>
        <v>0</v>
      </c>
      <c r="Q206" s="383">
        <f t="shared" si="24"/>
        <v>100.00000000000001</v>
      </c>
      <c r="R206" s="383">
        <f t="shared" si="25"/>
        <v>100</v>
      </c>
      <c r="S206" s="432"/>
      <c r="T206" s="436"/>
      <c r="U206" s="432"/>
      <c r="V206" s="432"/>
      <c r="W206" s="432"/>
      <c r="X206" s="432"/>
      <c r="Y206" s="432"/>
      <c r="Z206" s="432"/>
      <c r="AA206" s="432"/>
      <c r="AB206" s="432"/>
      <c r="AC206" s="432"/>
      <c r="AD206" s="432"/>
      <c r="AE206" s="432"/>
      <c r="AF206" s="432"/>
      <c r="AG206" s="432"/>
      <c r="AH206" s="432"/>
      <c r="AI206" s="432"/>
      <c r="AJ206" s="432"/>
      <c r="AK206" s="432"/>
      <c r="AL206" s="432"/>
      <c r="AM206" s="432"/>
      <c r="AN206" s="432"/>
      <c r="AO206" s="432"/>
    </row>
    <row r="207" spans="1:41" ht="15.75" customHeight="1">
      <c r="A207" s="349" t="s">
        <v>896</v>
      </c>
      <c r="B207" s="378">
        <f>('Pivot Table for Data Exchange'!$H$403)*100</f>
        <v>85.358882822899275</v>
      </c>
      <c r="C207" s="378">
        <f>('Pivot Table for Data Exchange'!$H$406)*100</f>
        <v>8.732907978966923E-3</v>
      </c>
      <c r="D207" s="379">
        <f>SUM(E207:G207)</f>
        <v>14.63238426912176</v>
      </c>
      <c r="E207" s="378">
        <f>('Pivot Table for Data Exchange'!$H$409)*100</f>
        <v>14.63238426912176</v>
      </c>
      <c r="F207" s="378">
        <f>('Pivot Table for Data Exchange'!$H$412)*100</f>
        <v>0</v>
      </c>
      <c r="G207" s="385">
        <f>('Pivot Table for Data Exchange'!$H$415)*100</f>
        <v>0</v>
      </c>
      <c r="H207" s="378">
        <f>('Pivot Table for Data Exchange'!$H$418)*100</f>
        <v>0</v>
      </c>
      <c r="I207" s="384" t="s">
        <v>896</v>
      </c>
      <c r="J207" s="378">
        <f>('Pivot Table for Data Exchange'!$H$421)*100</f>
        <v>34.880860876249038</v>
      </c>
      <c r="K207" s="378">
        <f>('Pivot Table for Data Exchange'!$H$424)*100</f>
        <v>0</v>
      </c>
      <c r="L207" s="379">
        <f>SUM(M207:O207)</f>
        <v>65.119139123750955</v>
      </c>
      <c r="M207" s="378">
        <f>('Pivot Table for Data Exchange'!$H$427)*100</f>
        <v>65.119139123750955</v>
      </c>
      <c r="N207" s="378">
        <f>('Pivot Table for Data Exchange'!$H$430)*100</f>
        <v>0</v>
      </c>
      <c r="O207" s="386">
        <f>('Pivot Table for Data Exchange'!$H$433)*100</f>
        <v>0</v>
      </c>
      <c r="P207" s="378">
        <f>('Pivot Table for Data Exchange'!$H$436)*100</f>
        <v>0</v>
      </c>
      <c r="Q207" s="383">
        <f t="shared" si="24"/>
        <v>100</v>
      </c>
      <c r="R207" s="383">
        <f t="shared" si="25"/>
        <v>100</v>
      </c>
      <c r="S207" s="432"/>
      <c r="T207" s="432"/>
      <c r="U207" s="432"/>
      <c r="V207" s="432"/>
      <c r="W207" s="432"/>
      <c r="X207" s="432"/>
      <c r="Y207" s="432"/>
      <c r="Z207" s="432"/>
      <c r="AA207" s="432"/>
      <c r="AB207" s="432"/>
      <c r="AC207" s="432"/>
      <c r="AD207" s="432"/>
      <c r="AE207" s="432"/>
      <c r="AF207" s="432"/>
      <c r="AG207" s="432"/>
      <c r="AH207" s="432"/>
      <c r="AI207" s="432"/>
      <c r="AJ207" s="432"/>
      <c r="AK207" s="432"/>
      <c r="AL207" s="432"/>
      <c r="AM207" s="432"/>
      <c r="AN207" s="432"/>
      <c r="AO207" s="432"/>
    </row>
    <row r="208" spans="1:41" ht="11.25" customHeight="1">
      <c r="B208" s="378"/>
      <c r="C208" s="378"/>
      <c r="D208" s="379"/>
      <c r="E208" s="378"/>
      <c r="F208" s="378"/>
      <c r="G208" s="386"/>
      <c r="H208" s="378"/>
      <c r="I208" s="384"/>
      <c r="J208" s="378"/>
      <c r="K208" s="378"/>
      <c r="L208" s="379"/>
      <c r="M208" s="378"/>
      <c r="N208" s="378"/>
      <c r="O208" s="386"/>
      <c r="P208" s="378"/>
      <c r="Q208" s="383">
        <f t="shared" si="24"/>
        <v>0</v>
      </c>
      <c r="R208" s="383">
        <f t="shared" si="25"/>
        <v>0</v>
      </c>
      <c r="S208" s="432"/>
      <c r="T208" s="432"/>
      <c r="U208" s="432"/>
      <c r="V208" s="432"/>
      <c r="W208" s="432"/>
      <c r="X208" s="432"/>
      <c r="Y208" s="432"/>
      <c r="Z208" s="432"/>
      <c r="AA208" s="432"/>
      <c r="AB208" s="432"/>
      <c r="AC208" s="432"/>
      <c r="AD208" s="432"/>
      <c r="AE208" s="432"/>
      <c r="AF208" s="432"/>
      <c r="AG208" s="432"/>
      <c r="AH208" s="432"/>
      <c r="AI208" s="432"/>
      <c r="AJ208" s="432"/>
      <c r="AK208" s="432"/>
      <c r="AL208" s="432"/>
      <c r="AM208" s="432"/>
      <c r="AN208" s="432"/>
      <c r="AO208" s="432"/>
    </row>
    <row r="209" spans="1:41" ht="15.75" customHeight="1">
      <c r="A209" s="349" t="s">
        <v>897</v>
      </c>
      <c r="B209" s="378">
        <f>('Pivot Table for Data Exchange'!$H$439)*100</f>
        <v>0</v>
      </c>
      <c r="C209" s="378">
        <f>('Pivot Table for Data Exchange'!$H$442)*100</f>
        <v>0</v>
      </c>
      <c r="D209" s="379">
        <f>SUM(E209:G209)</f>
        <v>0</v>
      </c>
      <c r="E209" s="378">
        <f>('Pivot Table for Data Exchange'!$H$445)*100</f>
        <v>0</v>
      </c>
      <c r="F209" s="378">
        <f>('Pivot Table for Data Exchange'!$H$448)*100</f>
        <v>0</v>
      </c>
      <c r="G209" s="386">
        <f>('Pivot Table for Data Exchange'!$H$451)*100</f>
        <v>0</v>
      </c>
      <c r="H209" s="378">
        <f>('Pivot Table for Data Exchange'!$H$454)*100</f>
        <v>0</v>
      </c>
      <c r="I209" s="384" t="s">
        <v>897</v>
      </c>
      <c r="J209" s="378">
        <f>('Pivot Table for Data Exchange'!$H$457)*100</f>
        <v>0</v>
      </c>
      <c r="K209" s="378">
        <f>('Pivot Table for Data Exchange'!$H$460)*100</f>
        <v>0</v>
      </c>
      <c r="L209" s="379">
        <f>SUM(M209:O209)</f>
        <v>0</v>
      </c>
      <c r="M209" s="378">
        <f>('Pivot Table for Data Exchange'!$H$463)*100</f>
        <v>0</v>
      </c>
      <c r="N209" s="378">
        <f>('Pivot Table for Data Exchange'!$H$466)*100</f>
        <v>0</v>
      </c>
      <c r="O209" s="386">
        <f>('Pivot Table for Data Exchange'!$H$469)*100</f>
        <v>0</v>
      </c>
      <c r="P209" s="378">
        <f>('Pivot Table for Data Exchange'!$H$472)*100</f>
        <v>0</v>
      </c>
      <c r="Q209" s="383">
        <f t="shared" si="24"/>
        <v>0</v>
      </c>
      <c r="R209" s="383">
        <f t="shared" si="25"/>
        <v>0</v>
      </c>
      <c r="S209" s="432"/>
      <c r="T209" s="432"/>
      <c r="U209" s="432"/>
      <c r="V209" s="432"/>
      <c r="W209" s="432"/>
      <c r="X209" s="432"/>
      <c r="Y209" s="432"/>
      <c r="Z209" s="432"/>
      <c r="AA209" s="432"/>
      <c r="AB209" s="432"/>
      <c r="AC209" s="432"/>
      <c r="AD209" s="432"/>
      <c r="AE209" s="432"/>
      <c r="AF209" s="432"/>
      <c r="AG209" s="432"/>
      <c r="AH209" s="432"/>
      <c r="AI209" s="432"/>
      <c r="AJ209" s="432"/>
      <c r="AK209" s="432"/>
      <c r="AL209" s="432"/>
      <c r="AM209" s="432"/>
      <c r="AN209" s="432"/>
      <c r="AO209" s="432"/>
    </row>
    <row r="210" spans="1:41" ht="15.75" customHeight="1">
      <c r="A210" s="349" t="s">
        <v>898</v>
      </c>
      <c r="B210" s="378">
        <f>('Pivot Table for Data Exchange'!$H$475)*100</f>
        <v>0</v>
      </c>
      <c r="C210" s="378">
        <f>('Pivot Table for Data Exchange'!$H$478)*100</f>
        <v>0</v>
      </c>
      <c r="D210" s="379">
        <f>SUM(E210:G210)</f>
        <v>0</v>
      </c>
      <c r="E210" s="378">
        <f>('Pivot Table for Data Exchange'!$H$481)*100</f>
        <v>0</v>
      </c>
      <c r="F210" s="378">
        <f>('Pivot Table for Data Exchange'!$H$484)*100</f>
        <v>0</v>
      </c>
      <c r="G210" s="385">
        <f>('Pivot Table for Data Exchange'!$H$487)*100</f>
        <v>0</v>
      </c>
      <c r="H210" s="378">
        <f>('Pivot Table for Data Exchange'!$H$490)*100</f>
        <v>0</v>
      </c>
      <c r="I210" s="384" t="s">
        <v>898</v>
      </c>
      <c r="J210" s="378">
        <f>('Pivot Table for Data Exchange'!$H$493)*100</f>
        <v>0</v>
      </c>
      <c r="K210" s="378">
        <f>('Pivot Table for Data Exchange'!$H$496)*100</f>
        <v>0</v>
      </c>
      <c r="L210" s="379">
        <f>SUM(M210:O210)</f>
        <v>0</v>
      </c>
      <c r="M210" s="378">
        <f>('Pivot Table for Data Exchange'!$H$499)*100</f>
        <v>0</v>
      </c>
      <c r="N210" s="378">
        <f>('Pivot Table for Data Exchange'!$H$502)*100</f>
        <v>0</v>
      </c>
      <c r="O210" s="386">
        <f>('Pivot Table for Data Exchange'!$H$505)*100</f>
        <v>0</v>
      </c>
      <c r="P210" s="378">
        <f>('Pivot Table for Data Exchange'!$H$508)*100</f>
        <v>0</v>
      </c>
      <c r="Q210" s="383">
        <f t="shared" si="24"/>
        <v>0</v>
      </c>
      <c r="R210" s="383">
        <f t="shared" si="25"/>
        <v>0</v>
      </c>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row>
    <row r="211" spans="1:41" ht="15.75" customHeight="1">
      <c r="A211" s="349" t="s">
        <v>899</v>
      </c>
      <c r="B211" s="378">
        <f>('Pivot Table for Data Exchange'!$H$511)*100</f>
        <v>77.384827240861284</v>
      </c>
      <c r="C211" s="378">
        <f>('Pivot Table for Data Exchange'!$H$514)*100</f>
        <v>0</v>
      </c>
      <c r="D211" s="379">
        <f>SUM(E211:G211)</f>
        <v>22.615172759138709</v>
      </c>
      <c r="E211" s="378">
        <f>('Pivot Table for Data Exchange'!$H$517)*100</f>
        <v>22.615172759138709</v>
      </c>
      <c r="F211" s="378">
        <f>('Pivot Table for Data Exchange'!$H$520)*100</f>
        <v>0</v>
      </c>
      <c r="G211" s="386">
        <f>('Pivot Table for Data Exchange'!$H$523)*100</f>
        <v>0</v>
      </c>
      <c r="H211" s="378">
        <f>('Pivot Table for Data Exchange'!$H$526)*100</f>
        <v>0</v>
      </c>
      <c r="I211" s="384" t="s">
        <v>899</v>
      </c>
      <c r="J211" s="378">
        <f>('Pivot Table for Data Exchange'!$H$529)*100</f>
        <v>0</v>
      </c>
      <c r="K211" s="378">
        <f>('Pivot Table for Data Exchange'!$H$532)*100</f>
        <v>0</v>
      </c>
      <c r="L211" s="379">
        <f>SUM(M211:O211)</f>
        <v>0</v>
      </c>
      <c r="M211" s="378">
        <f>('Pivot Table for Data Exchange'!$H$535)*100</f>
        <v>0</v>
      </c>
      <c r="N211" s="378">
        <f>('Pivot Table for Data Exchange'!$H$538)*100</f>
        <v>0</v>
      </c>
      <c r="O211" s="386">
        <f>('Pivot Table for Data Exchange'!$H$541)*100</f>
        <v>0</v>
      </c>
      <c r="P211" s="378">
        <f>('Pivot Table for Data Exchange'!$H$544)*100</f>
        <v>0</v>
      </c>
      <c r="Q211" s="383">
        <f t="shared" si="24"/>
        <v>100</v>
      </c>
      <c r="R211" s="383">
        <f t="shared" si="25"/>
        <v>0</v>
      </c>
      <c r="S211" s="432"/>
      <c r="T211" s="432"/>
      <c r="U211" s="432"/>
      <c r="V211" s="432"/>
      <c r="W211" s="432"/>
      <c r="X211" s="432"/>
      <c r="Y211" s="432"/>
      <c r="Z211" s="432"/>
      <c r="AA211" s="432"/>
      <c r="AB211" s="432"/>
      <c r="AC211" s="432"/>
      <c r="AD211" s="432"/>
      <c r="AE211" s="432"/>
      <c r="AF211" s="432"/>
      <c r="AG211" s="432"/>
      <c r="AH211" s="432"/>
      <c r="AI211" s="432"/>
      <c r="AJ211" s="432"/>
      <c r="AK211" s="432"/>
      <c r="AL211" s="432"/>
      <c r="AM211" s="432"/>
      <c r="AN211" s="432"/>
      <c r="AO211" s="432"/>
    </row>
    <row r="212" spans="1:41" ht="15.75" customHeight="1">
      <c r="A212" s="355" t="s">
        <v>900</v>
      </c>
      <c r="B212" s="391">
        <f>('Pivot Table for Data Exchange'!$H$547)*100</f>
        <v>63.630152070427862</v>
      </c>
      <c r="C212" s="391">
        <f>('Pivot Table for Data Exchange'!$H$550)*100</f>
        <v>10.769161269192328</v>
      </c>
      <c r="D212" s="392">
        <f>SUM(E212:G212)</f>
        <v>25.600686660379807</v>
      </c>
      <c r="E212" s="391">
        <f>('Pivot Table for Data Exchange'!$H$553)*100</f>
        <v>24.142098041097977</v>
      </c>
      <c r="F212" s="391">
        <f>('Pivot Table for Data Exchange'!$H$556)*100</f>
        <v>1.4568945558448012</v>
      </c>
      <c r="G212" s="414">
        <f>('Pivot Table for Data Exchange'!$H$559)*100</f>
        <v>1.6940634370288387E-3</v>
      </c>
      <c r="H212" s="391">
        <f>('Pivot Table for Data Exchange'!$H$562)*100</f>
        <v>0</v>
      </c>
      <c r="I212" s="394" t="s">
        <v>900</v>
      </c>
      <c r="J212" s="391">
        <f>('Pivot Table for Data Exchange'!$H$565)*100</f>
        <v>68.5214626391097</v>
      </c>
      <c r="K212" s="391">
        <f>('Pivot Table for Data Exchange'!$H$568)*100</f>
        <v>4.6104928457869638</v>
      </c>
      <c r="L212" s="392">
        <f>SUM(M212:O212)</f>
        <v>26.868044515103339</v>
      </c>
      <c r="M212" s="391">
        <f>('Pivot Table for Data Exchange'!$H$571)*100</f>
        <v>26.868044515103339</v>
      </c>
      <c r="N212" s="391">
        <f>('Pivot Table for Data Exchange'!$H$574)*100</f>
        <v>0</v>
      </c>
      <c r="O212" s="393">
        <f>('Pivot Table for Data Exchange'!$H$577)*100</f>
        <v>0</v>
      </c>
      <c r="P212" s="391">
        <f>('Pivot Table for Data Exchange'!$H$580)*100</f>
        <v>0</v>
      </c>
      <c r="Q212" s="383">
        <f t="shared" si="24"/>
        <v>100</v>
      </c>
      <c r="R212" s="383">
        <f t="shared" si="25"/>
        <v>100</v>
      </c>
      <c r="S212" s="432"/>
      <c r="T212" s="432"/>
      <c r="U212" s="432"/>
      <c r="V212" s="432"/>
      <c r="W212" s="432"/>
      <c r="X212" s="432"/>
      <c r="Y212" s="432"/>
      <c r="Z212" s="432"/>
      <c r="AA212" s="432"/>
      <c r="AB212" s="432"/>
      <c r="AC212" s="432"/>
      <c r="AD212" s="432"/>
      <c r="AE212" s="432"/>
      <c r="AF212" s="432"/>
      <c r="AG212" s="432"/>
      <c r="AH212" s="432"/>
      <c r="AI212" s="432"/>
      <c r="AJ212" s="432"/>
      <c r="AK212" s="432"/>
      <c r="AL212" s="432"/>
      <c r="AM212" s="432"/>
      <c r="AN212" s="432"/>
      <c r="AO212" s="432"/>
    </row>
    <row r="213" spans="1:41" s="422" customFormat="1" ht="13.5" customHeight="1">
      <c r="A213" s="397" t="s">
        <v>926</v>
      </c>
      <c r="B213" s="398"/>
      <c r="C213" s="398"/>
      <c r="D213" s="399"/>
      <c r="E213" s="398"/>
      <c r="F213" s="399"/>
      <c r="G213" s="399"/>
      <c r="H213" s="398"/>
      <c r="I213" s="397" t="s">
        <v>926</v>
      </c>
      <c r="J213" s="398"/>
      <c r="K213" s="398"/>
      <c r="L213" s="399"/>
      <c r="M213" s="398"/>
      <c r="N213" s="399"/>
      <c r="O213" s="399"/>
      <c r="P213" s="398"/>
      <c r="Q213" s="383">
        <f t="shared" si="24"/>
        <v>0</v>
      </c>
      <c r="R213" s="383">
        <f t="shared" si="25"/>
        <v>0</v>
      </c>
      <c r="S213" s="435"/>
      <c r="T213" s="435"/>
      <c r="U213" s="435"/>
      <c r="V213" s="435"/>
      <c r="W213" s="435"/>
      <c r="X213" s="435"/>
      <c r="Y213" s="435"/>
      <c r="Z213" s="435"/>
      <c r="AA213" s="435"/>
      <c r="AB213" s="435"/>
      <c r="AC213" s="435"/>
      <c r="AD213" s="435"/>
      <c r="AE213" s="435"/>
      <c r="AF213" s="435"/>
      <c r="AG213" s="435"/>
      <c r="AH213" s="435"/>
      <c r="AI213" s="435"/>
      <c r="AJ213" s="435"/>
      <c r="AK213" s="435"/>
      <c r="AL213" s="435"/>
      <c r="AM213" s="435"/>
      <c r="AN213" s="435"/>
      <c r="AO213" s="435"/>
    </row>
    <row r="214" spans="1:41" s="422" customFormat="1" ht="23.25" customHeight="1">
      <c r="A214" s="501" t="s">
        <v>932</v>
      </c>
      <c r="B214" s="502"/>
      <c r="C214" s="502"/>
      <c r="D214" s="502"/>
      <c r="E214" s="502"/>
      <c r="F214" s="502"/>
      <c r="G214" s="502"/>
      <c r="H214" s="502"/>
      <c r="I214" s="501"/>
      <c r="J214" s="502"/>
      <c r="K214" s="502"/>
      <c r="L214" s="502"/>
      <c r="M214" s="502"/>
      <c r="N214" s="502"/>
      <c r="O214" s="502"/>
      <c r="P214" s="502"/>
      <c r="Q214" s="383">
        <f t="shared" si="24"/>
        <v>0</v>
      </c>
      <c r="R214" s="383">
        <f t="shared" si="25"/>
        <v>0</v>
      </c>
    </row>
    <row r="215" spans="1:41" s="422" customFormat="1" ht="10.5" customHeight="1">
      <c r="A215" s="401"/>
      <c r="B215" s="410"/>
      <c r="C215" s="410"/>
      <c r="D215" s="410"/>
      <c r="E215" s="410"/>
      <c r="F215" s="410"/>
      <c r="G215" s="410"/>
      <c r="H215" s="410"/>
      <c r="I215" s="401"/>
      <c r="J215" s="410"/>
      <c r="K215" s="410"/>
      <c r="L215" s="410"/>
      <c r="M215" s="410"/>
      <c r="N215" s="410"/>
      <c r="O215" s="410"/>
      <c r="P215" s="410"/>
      <c r="Q215" s="383">
        <f t="shared" si="24"/>
        <v>0</v>
      </c>
      <c r="R215" s="383">
        <f t="shared" si="25"/>
        <v>0</v>
      </c>
    </row>
    <row r="216" spans="1:41" s="422" customFormat="1">
      <c r="A216" s="396"/>
      <c r="B216" s="396"/>
      <c r="C216" s="396"/>
      <c r="D216" s="396"/>
      <c r="E216" s="396"/>
      <c r="F216" s="396"/>
      <c r="G216" s="396"/>
      <c r="H216" s="402" t="s">
        <v>1007</v>
      </c>
      <c r="I216" s="396"/>
      <c r="J216" s="396"/>
      <c r="K216" s="396"/>
      <c r="L216" s="396"/>
      <c r="M216" s="396"/>
      <c r="N216" s="396"/>
      <c r="O216" s="396"/>
      <c r="P216" s="402" t="s">
        <v>1007</v>
      </c>
      <c r="Q216" s="383">
        <f t="shared" si="24"/>
        <v>0</v>
      </c>
      <c r="R216" s="383">
        <f t="shared" si="25"/>
        <v>0</v>
      </c>
    </row>
    <row r="217" spans="1:41" ht="18">
      <c r="A217" s="344" t="s">
        <v>939</v>
      </c>
      <c r="B217" s="345"/>
      <c r="C217" s="345"/>
      <c r="D217" s="345"/>
      <c r="E217" s="345"/>
      <c r="F217" s="345"/>
      <c r="G217" s="345"/>
      <c r="H217" s="345"/>
      <c r="I217" s="349"/>
      <c r="Q217" s="383">
        <f>SUM(B217,C217,D217,H217)</f>
        <v>0</v>
      </c>
    </row>
    <row r="218" spans="1:41">
      <c r="A218" s="350"/>
      <c r="B218" s="346"/>
      <c r="C218" s="346"/>
      <c r="D218" s="346"/>
      <c r="E218" s="346"/>
      <c r="F218" s="346"/>
      <c r="G218" s="346"/>
      <c r="H218" s="346"/>
      <c r="I218" s="349"/>
      <c r="Q218" s="383">
        <f t="shared" ref="Q218:Q281" si="34">SUM(B218,C218,D218,H218)</f>
        <v>0</v>
      </c>
    </row>
    <row r="219" spans="1:41" ht="15.75">
      <c r="A219" s="352" t="s">
        <v>906</v>
      </c>
      <c r="B219" s="346"/>
      <c r="C219" s="346"/>
      <c r="D219" s="346"/>
      <c r="E219" s="346"/>
      <c r="F219" s="346"/>
      <c r="G219" s="346"/>
      <c r="H219" s="346"/>
      <c r="L219" s="346"/>
      <c r="Q219" s="383">
        <f t="shared" si="34"/>
        <v>0</v>
      </c>
    </row>
    <row r="220" spans="1:41" ht="15.75">
      <c r="A220" s="352" t="s">
        <v>973</v>
      </c>
      <c r="B220" s="346"/>
      <c r="C220" s="346"/>
      <c r="D220" s="346"/>
      <c r="E220" s="346"/>
      <c r="F220" s="346"/>
      <c r="G220" s="346"/>
      <c r="H220" s="346"/>
      <c r="Q220" s="383">
        <f t="shared" si="34"/>
        <v>0</v>
      </c>
    </row>
    <row r="221" spans="1:41">
      <c r="A221" s="355"/>
      <c r="B221" s="356"/>
      <c r="C221" s="356"/>
      <c r="D221" s="356"/>
      <c r="E221" s="356"/>
      <c r="F221" s="356"/>
      <c r="G221" s="356"/>
      <c r="H221" s="356"/>
      <c r="Q221" s="383">
        <f t="shared" si="34"/>
        <v>0</v>
      </c>
    </row>
    <row r="222" spans="1:41">
      <c r="A222" s="360"/>
      <c r="B222" s="361" t="s">
        <v>908</v>
      </c>
      <c r="C222" s="361"/>
      <c r="D222" s="361"/>
      <c r="E222" s="361"/>
      <c r="F222" s="361"/>
      <c r="G222" s="361"/>
      <c r="H222" s="362"/>
      <c r="Q222" s="383">
        <f t="shared" si="34"/>
        <v>0</v>
      </c>
    </row>
    <row r="223" spans="1:41">
      <c r="A223" s="360"/>
      <c r="B223" s="361" t="s">
        <v>909</v>
      </c>
      <c r="C223" s="361"/>
      <c r="D223" s="506" t="s">
        <v>910</v>
      </c>
      <c r="E223" s="504"/>
      <c r="F223" s="504"/>
      <c r="G223" s="504"/>
      <c r="H223" s="368" t="s">
        <v>800</v>
      </c>
      <c r="Q223" s="383">
        <f t="shared" si="34"/>
        <v>0</v>
      </c>
    </row>
    <row r="224" spans="1:41" ht="36">
      <c r="A224" s="360"/>
      <c r="B224" s="369" t="s">
        <v>911</v>
      </c>
      <c r="C224" s="370" t="s">
        <v>912</v>
      </c>
      <c r="D224" s="371" t="s">
        <v>913</v>
      </c>
      <c r="E224" s="372" t="s">
        <v>10</v>
      </c>
      <c r="F224" s="369" t="s">
        <v>914</v>
      </c>
      <c r="G224" s="373" t="s">
        <v>924</v>
      </c>
      <c r="H224" s="374" t="s">
        <v>916</v>
      </c>
      <c r="I224" s="403"/>
      <c r="J224" s="365"/>
      <c r="K224" s="365"/>
      <c r="L224" s="365"/>
      <c r="M224" s="365"/>
      <c r="N224" s="365"/>
      <c r="O224" s="365"/>
      <c r="Q224" s="383">
        <f t="shared" si="34"/>
        <v>0</v>
      </c>
    </row>
    <row r="225" spans="1:41" ht="15.75" customHeight="1">
      <c r="A225" s="404" t="s">
        <v>885</v>
      </c>
      <c r="B225" s="431">
        <f>('Pivot Table for Data Exchange'!$O$7)*100</f>
        <v>61.092804248309321</v>
      </c>
      <c r="C225" s="378">
        <f>('Pivot Table for Data Exchange'!$O$10)*100</f>
        <v>11.726684907454466</v>
      </c>
      <c r="D225" s="379">
        <f>SUM(E225:G225)</f>
        <v>27.180510844236217</v>
      </c>
      <c r="E225" s="378">
        <f>('Pivot Table for Data Exchange'!$O$13)*100</f>
        <v>26.737385992521805</v>
      </c>
      <c r="F225" s="378">
        <f>('Pivot Table for Data Exchange'!$O$16)*100</f>
        <v>0.31241896020152737</v>
      </c>
      <c r="G225" s="382">
        <f>('Pivot Table for Data Exchange'!$O$19)*100</f>
        <v>0.13070589151288392</v>
      </c>
      <c r="H225" s="378">
        <f>('Pivot Table for Data Exchange'!$O$22)*100</f>
        <v>0</v>
      </c>
      <c r="I225" s="416"/>
      <c r="J225" s="416"/>
      <c r="K225" s="416"/>
      <c r="L225" s="416"/>
      <c r="M225" s="416"/>
      <c r="N225" s="416"/>
      <c r="O225" s="416"/>
      <c r="P225" s="417"/>
      <c r="Q225" s="383">
        <f t="shared" si="34"/>
        <v>100</v>
      </c>
      <c r="R225" s="383"/>
      <c r="Z225" s="432"/>
      <c r="AA225" s="432"/>
      <c r="AB225" s="432"/>
      <c r="AC225" s="432"/>
      <c r="AD225" s="432"/>
      <c r="AE225" s="432"/>
      <c r="AF225" s="432"/>
      <c r="AG225" s="432"/>
      <c r="AH225" s="432"/>
      <c r="AI225" s="432"/>
      <c r="AJ225" s="432"/>
      <c r="AK225" s="432"/>
      <c r="AL225" s="432"/>
      <c r="AM225" s="432"/>
      <c r="AN225" s="432"/>
      <c r="AO225" s="432"/>
    </row>
    <row r="226" spans="1:41" ht="15.75" customHeight="1">
      <c r="A226" s="349" t="s">
        <v>886</v>
      </c>
      <c r="B226" s="378">
        <f>('Pivot Table for Data Exchange'!$O$43)*100</f>
        <v>63.38642741559849</v>
      </c>
      <c r="C226" s="378">
        <f>('Pivot Table for Data Exchange'!$O$46)*100</f>
        <v>9.3992192026109294</v>
      </c>
      <c r="D226" s="379">
        <f t="shared" ref="D226:D228" si="35">SUM(E226:G226)</f>
        <v>27.21435338179058</v>
      </c>
      <c r="E226" s="378">
        <f>('Pivot Table for Data Exchange'!$O$49)*100</f>
        <v>26.154083940450796</v>
      </c>
      <c r="F226" s="378">
        <f>('Pivot Table for Data Exchange'!$O$52)*100</f>
        <v>1.0602694413397835</v>
      </c>
      <c r="G226" s="389">
        <f>('Pivot Table for Data Exchange'!$O$55)*100</f>
        <v>0</v>
      </c>
      <c r="H226" s="387">
        <f>('Pivot Table for Data Exchange'!$O$58)*100</f>
        <v>0</v>
      </c>
      <c r="I226" s="416"/>
      <c r="J226" s="416"/>
      <c r="K226" s="416"/>
      <c r="L226" s="416"/>
      <c r="M226" s="416"/>
      <c r="N226" s="416"/>
      <c r="O226" s="416"/>
      <c r="P226" s="417"/>
      <c r="Q226" s="383">
        <f t="shared" si="34"/>
        <v>100</v>
      </c>
      <c r="R226" s="383"/>
      <c r="Z226" s="432"/>
      <c r="AA226" s="432"/>
      <c r="AB226" s="432"/>
      <c r="AC226" s="432"/>
      <c r="AD226" s="432"/>
      <c r="AE226" s="432"/>
      <c r="AF226" s="432"/>
      <c r="AG226" s="432"/>
      <c r="AH226" s="432"/>
      <c r="AI226" s="432"/>
      <c r="AJ226" s="432"/>
      <c r="AK226" s="432"/>
      <c r="AL226" s="432"/>
      <c r="AM226" s="432"/>
      <c r="AN226" s="432"/>
      <c r="AO226" s="432"/>
    </row>
    <row r="227" spans="1:41" ht="15.75" customHeight="1">
      <c r="A227" s="349" t="s">
        <v>887</v>
      </c>
      <c r="B227" s="378">
        <f>('Pivot Table for Data Exchange'!$O$79)*100</f>
        <v>83.456419910633556</v>
      </c>
      <c r="C227" s="378">
        <f>('Pivot Table for Data Exchange'!$O$82)*100</f>
        <v>0</v>
      </c>
      <c r="D227" s="379">
        <f t="shared" si="35"/>
        <v>16.543580089366436</v>
      </c>
      <c r="E227" s="378">
        <f>('Pivot Table for Data Exchange'!$O$85)*100</f>
        <v>16.020477637928277</v>
      </c>
      <c r="F227" s="378">
        <f>('Pivot Table for Data Exchange'!$O$88)*100</f>
        <v>0.32628794446035991</v>
      </c>
      <c r="G227" s="386">
        <f>('Pivot Table for Data Exchange'!$O$91)*100</f>
        <v>0.19681450697779979</v>
      </c>
      <c r="H227" s="378">
        <f>('Pivot Table for Data Exchange'!$O$94)*100</f>
        <v>0</v>
      </c>
      <c r="I227" s="416"/>
      <c r="J227" s="416"/>
      <c r="K227" s="416"/>
      <c r="L227" s="416"/>
      <c r="M227" s="416"/>
      <c r="N227" s="416"/>
      <c r="O227" s="416"/>
      <c r="P227" s="417"/>
      <c r="Q227" s="383">
        <f t="shared" si="34"/>
        <v>100</v>
      </c>
      <c r="R227" s="383"/>
      <c r="Z227" s="432"/>
      <c r="AA227" s="432"/>
      <c r="AB227" s="432"/>
      <c r="AC227" s="432"/>
      <c r="AD227" s="432"/>
      <c r="AE227" s="432"/>
      <c r="AF227" s="432"/>
      <c r="AG227" s="432"/>
      <c r="AH227" s="432"/>
      <c r="AI227" s="432"/>
      <c r="AJ227" s="432"/>
      <c r="AK227" s="432"/>
      <c r="AL227" s="432"/>
      <c r="AM227" s="432"/>
      <c r="AN227" s="432"/>
      <c r="AO227" s="432"/>
    </row>
    <row r="228" spans="1:41" ht="15.75" customHeight="1">
      <c r="A228" s="349" t="s">
        <v>925</v>
      </c>
      <c r="B228" s="378">
        <f>('Pivot Table for Data Exchange'!$O$115)*100</f>
        <v>70.105314957486215</v>
      </c>
      <c r="C228" s="378">
        <f>('Pivot Table for Data Exchange'!$O$118)*100</f>
        <v>3.5524317511253614</v>
      </c>
      <c r="D228" s="379">
        <f t="shared" si="35"/>
        <v>26.306326309729574</v>
      </c>
      <c r="E228" s="378">
        <f>('Pivot Table for Data Exchange'!$O$121)*100</f>
        <v>26.244560977680887</v>
      </c>
      <c r="F228" s="378">
        <f>('Pivot Table for Data Exchange'!$O$124)*100</f>
        <v>1.0275865692122507E-2</v>
      </c>
      <c r="G228" s="386">
        <f>('Pivot Table for Data Exchange'!$O$127)*100</f>
        <v>5.1489466356562409E-2</v>
      </c>
      <c r="H228" s="387">
        <f>('Pivot Table for Data Exchange'!$O$130)*100</f>
        <v>3.5926981658846321E-2</v>
      </c>
      <c r="I228" s="416"/>
      <c r="J228" s="416"/>
      <c r="K228" s="416"/>
      <c r="L228" s="416"/>
      <c r="M228" s="416"/>
      <c r="N228" s="416"/>
      <c r="O228" s="416"/>
      <c r="P228" s="417"/>
      <c r="Q228" s="383">
        <f t="shared" si="34"/>
        <v>99.999999999999986</v>
      </c>
      <c r="R228" s="383"/>
      <c r="Z228" s="432"/>
      <c r="AA228" s="432"/>
      <c r="AB228" s="432"/>
      <c r="AC228" s="432"/>
      <c r="AD228" s="432"/>
      <c r="AE228" s="432"/>
      <c r="AF228" s="432"/>
      <c r="AG228" s="432"/>
      <c r="AH228" s="432"/>
      <c r="AI228" s="432"/>
      <c r="AJ228" s="432"/>
      <c r="AK228" s="432"/>
      <c r="AL228" s="432"/>
      <c r="AM228" s="432"/>
      <c r="AN228" s="432"/>
      <c r="AO228" s="432"/>
    </row>
    <row r="229" spans="1:41" ht="15.75" customHeight="1">
      <c r="B229" s="378"/>
      <c r="C229" s="378"/>
      <c r="D229" s="379"/>
      <c r="E229" s="378"/>
      <c r="F229" s="378"/>
      <c r="G229" s="386"/>
      <c r="H229" s="378"/>
      <c r="I229" s="416"/>
      <c r="J229" s="416"/>
      <c r="K229" s="416"/>
      <c r="L229" s="416"/>
      <c r="M229" s="416"/>
      <c r="N229" s="416"/>
      <c r="O229" s="416"/>
      <c r="P229" s="417"/>
      <c r="Q229" s="383">
        <f t="shared" si="34"/>
        <v>0</v>
      </c>
      <c r="R229" s="383"/>
      <c r="Z229" s="432"/>
      <c r="AA229" s="432"/>
      <c r="AB229" s="432"/>
      <c r="AC229" s="432"/>
      <c r="AD229" s="432"/>
      <c r="AE229" s="432"/>
      <c r="AF229" s="432"/>
      <c r="AG229" s="432"/>
      <c r="AH229" s="432"/>
      <c r="AI229" s="432"/>
      <c r="AJ229" s="432"/>
      <c r="AK229" s="432"/>
      <c r="AL229" s="432"/>
      <c r="AM229" s="432"/>
      <c r="AN229" s="432"/>
      <c r="AO229" s="432"/>
    </row>
    <row r="230" spans="1:41" ht="15.75" customHeight="1">
      <c r="A230" s="349" t="s">
        <v>889</v>
      </c>
      <c r="B230" s="378">
        <f>('Pivot Table for Data Exchange'!$O$151)*100</f>
        <v>65.388022744627065</v>
      </c>
      <c r="C230" s="378">
        <f>('Pivot Table for Data Exchange'!$O$154)*100</f>
        <v>14.0484027607885</v>
      </c>
      <c r="D230" s="379">
        <f t="shared" ref="D230:D231" si="36">SUM(E230:G230)</f>
        <v>20.563574494584433</v>
      </c>
      <c r="E230" s="378">
        <f>('Pivot Table for Data Exchange'!$O$157)*100</f>
        <v>19.404473307682611</v>
      </c>
      <c r="F230" s="390">
        <f>('Pivot Table for Data Exchange'!$O$160)*100</f>
        <v>0</v>
      </c>
      <c r="G230" s="386">
        <f>('Pivot Table for Data Exchange'!$O$163)*100</f>
        <v>1.1591011869018231</v>
      </c>
      <c r="H230" s="390">
        <f>('Pivot Table for Data Exchange'!$O$166)*100</f>
        <v>0</v>
      </c>
      <c r="I230" s="416"/>
      <c r="J230" s="416"/>
      <c r="K230" s="416"/>
      <c r="L230" s="416"/>
      <c r="M230" s="416"/>
      <c r="N230" s="416"/>
      <c r="O230" s="416"/>
      <c r="P230" s="417"/>
      <c r="Q230" s="383">
        <f t="shared" si="34"/>
        <v>100</v>
      </c>
      <c r="R230" s="383"/>
      <c r="Z230" s="432"/>
      <c r="AA230" s="432"/>
      <c r="AB230" s="432"/>
      <c r="AC230" s="432"/>
      <c r="AD230" s="432"/>
      <c r="AE230" s="432"/>
      <c r="AF230" s="432"/>
      <c r="AG230" s="432"/>
      <c r="AH230" s="432"/>
      <c r="AI230" s="432"/>
      <c r="AJ230" s="432"/>
      <c r="AK230" s="432"/>
      <c r="AL230" s="432"/>
      <c r="AM230" s="432"/>
      <c r="AN230" s="432"/>
      <c r="AO230" s="432"/>
    </row>
    <row r="231" spans="1:41" ht="15.75" customHeight="1">
      <c r="A231" s="349" t="s">
        <v>890</v>
      </c>
      <c r="B231" s="378">
        <f>('Pivot Table for Data Exchange'!$O$187)*100</f>
        <v>53.31196721526802</v>
      </c>
      <c r="C231" s="378">
        <f>('Pivot Table for Data Exchange'!$O$190)*100</f>
        <v>6.0086460536166975</v>
      </c>
      <c r="D231" s="379">
        <f t="shared" si="36"/>
        <v>40.679386731115287</v>
      </c>
      <c r="E231" s="378">
        <f>('Pivot Table for Data Exchange'!$O$193)*100</f>
        <v>40.679386731115287</v>
      </c>
      <c r="F231" s="378">
        <f>('Pivot Table for Data Exchange'!$O$196)*100</f>
        <v>0</v>
      </c>
      <c r="G231" s="386">
        <f>('Pivot Table for Data Exchange'!$O$199)*100</f>
        <v>0</v>
      </c>
      <c r="H231" s="378">
        <f>('Pivot Table for Data Exchange'!$O$202)*100</f>
        <v>0</v>
      </c>
      <c r="I231" s="416"/>
      <c r="J231" s="416"/>
      <c r="K231" s="416"/>
      <c r="L231" s="416"/>
      <c r="M231" s="416"/>
      <c r="N231" s="416"/>
      <c r="O231" s="416"/>
      <c r="P231" s="417"/>
      <c r="Q231" s="383">
        <f t="shared" si="34"/>
        <v>100</v>
      </c>
      <c r="R231" s="383"/>
      <c r="Z231" s="432"/>
      <c r="AA231" s="432"/>
      <c r="AB231" s="432"/>
      <c r="AC231" s="432"/>
      <c r="AD231" s="432"/>
      <c r="AE231" s="432"/>
      <c r="AF231" s="432"/>
      <c r="AG231" s="432"/>
      <c r="AH231" s="432"/>
      <c r="AI231" s="432"/>
      <c r="AJ231" s="432"/>
      <c r="AK231" s="432"/>
      <c r="AL231" s="432"/>
      <c r="AM231" s="432"/>
      <c r="AN231" s="432"/>
      <c r="AO231" s="432"/>
    </row>
    <row r="232" spans="1:41" ht="15.75" customHeight="1">
      <c r="A232" s="349" t="s">
        <v>891</v>
      </c>
      <c r="B232" s="378">
        <f>('Pivot Table for Data Exchange'!$O$223)*100</f>
        <v>79.896506082261809</v>
      </c>
      <c r="C232" s="378">
        <f>('Pivot Table for Data Exchange'!$O$226)*100</f>
        <v>0</v>
      </c>
      <c r="D232" s="379">
        <f>SUM(E232:G232)</f>
        <v>20.103493917738184</v>
      </c>
      <c r="E232" s="378">
        <f>('Pivot Table for Data Exchange'!$O$229)*100</f>
        <v>20.103493917738184</v>
      </c>
      <c r="F232" s="378">
        <f>('Pivot Table for Data Exchange'!$O$232)*100</f>
        <v>0</v>
      </c>
      <c r="G232" s="386">
        <f>('Pivot Table for Data Exchange'!$O$235)*100</f>
        <v>0</v>
      </c>
      <c r="H232" s="378">
        <f>('Pivot Table for Data Exchange'!$O$238)*100</f>
        <v>0</v>
      </c>
      <c r="Q232" s="383">
        <f t="shared" si="34"/>
        <v>100</v>
      </c>
      <c r="R232" s="383"/>
      <c r="Z232" s="432"/>
      <c r="AA232" s="432"/>
      <c r="AB232" s="432"/>
      <c r="AC232" s="432"/>
      <c r="AD232" s="432"/>
      <c r="AE232" s="432"/>
      <c r="AF232" s="432"/>
      <c r="AG232" s="432"/>
      <c r="AH232" s="432"/>
      <c r="AI232" s="432"/>
      <c r="AJ232" s="432"/>
      <c r="AK232" s="432"/>
      <c r="AL232" s="432"/>
      <c r="AM232" s="432"/>
      <c r="AN232" s="432"/>
      <c r="AO232" s="432"/>
    </row>
    <row r="233" spans="1:41" ht="15.75" customHeight="1">
      <c r="A233" s="349" t="s">
        <v>892</v>
      </c>
      <c r="B233" s="378">
        <f>('Pivot Table for Data Exchange'!$O$259)*100</f>
        <v>67.131552450775743</v>
      </c>
      <c r="C233" s="378">
        <f>('Pivot Table for Data Exchange'!$O$262)*100</f>
        <v>13.852347066190877</v>
      </c>
      <c r="D233" s="379">
        <f>SUM(E233:G233)</f>
        <v>19.013795826304445</v>
      </c>
      <c r="E233" s="378">
        <f>('Pivot Table for Data Exchange'!$O$265)*100</f>
        <v>18.870642640305423</v>
      </c>
      <c r="F233" s="378">
        <f>('Pivot Table for Data Exchange'!$O$268)*100</f>
        <v>0.14315318599902147</v>
      </c>
      <c r="G233" s="385">
        <f>('Pivot Table for Data Exchange'!$O$271)*100</f>
        <v>0</v>
      </c>
      <c r="H233" s="387">
        <f>('Pivot Table for Data Exchange'!$O$274)*100</f>
        <v>2.3046567289364763E-3</v>
      </c>
      <c r="I233" s="416"/>
      <c r="J233" s="416"/>
      <c r="K233" s="416"/>
      <c r="L233" s="416"/>
      <c r="M233" s="416"/>
      <c r="N233" s="416"/>
      <c r="O233" s="416"/>
      <c r="P233" s="417"/>
      <c r="Q233" s="383">
        <f t="shared" si="34"/>
        <v>100</v>
      </c>
      <c r="R233" s="383"/>
      <c r="Z233" s="432"/>
      <c r="AA233" s="432"/>
      <c r="AB233" s="432"/>
      <c r="AC233" s="432"/>
      <c r="AD233" s="432"/>
      <c r="AE233" s="432"/>
      <c r="AF233" s="432"/>
      <c r="AG233" s="432"/>
      <c r="AH233" s="432"/>
      <c r="AI233" s="432"/>
      <c r="AJ233" s="432"/>
      <c r="AK233" s="432"/>
      <c r="AL233" s="432"/>
      <c r="AM233" s="432"/>
      <c r="AN233" s="432"/>
      <c r="AO233" s="432"/>
    </row>
    <row r="234" spans="1:41" ht="15.75" customHeight="1">
      <c r="B234" s="378"/>
      <c r="C234" s="378"/>
      <c r="D234" s="379"/>
      <c r="E234" s="378"/>
      <c r="F234" s="378"/>
      <c r="G234" s="386"/>
      <c r="H234" s="378"/>
      <c r="I234" s="416"/>
      <c r="J234" s="416"/>
      <c r="K234" s="416"/>
      <c r="L234" s="416"/>
      <c r="M234" s="416"/>
      <c r="N234" s="416"/>
      <c r="O234" s="416"/>
      <c r="P234" s="417"/>
      <c r="Q234" s="383">
        <f t="shared" si="34"/>
        <v>0</v>
      </c>
      <c r="R234" s="383"/>
      <c r="Z234" s="432"/>
      <c r="AA234" s="432"/>
      <c r="AB234" s="432"/>
      <c r="AC234" s="432"/>
      <c r="AD234" s="432"/>
      <c r="AE234" s="432"/>
      <c r="AF234" s="432"/>
      <c r="AG234" s="432"/>
      <c r="AH234" s="432"/>
      <c r="AI234" s="432"/>
      <c r="AJ234" s="432"/>
      <c r="AK234" s="432"/>
      <c r="AL234" s="432"/>
      <c r="AM234" s="432"/>
      <c r="AN234" s="432"/>
      <c r="AO234" s="432"/>
    </row>
    <row r="235" spans="1:41" ht="15.75" customHeight="1">
      <c r="A235" s="349" t="s">
        <v>940</v>
      </c>
      <c r="B235" s="378">
        <f>('Pivot Table for Data Exchange'!$O$295)*100</f>
        <v>71.257566288345615</v>
      </c>
      <c r="C235" s="378">
        <f>('Pivot Table for Data Exchange'!$O$298)*100</f>
        <v>2.9308881612600737</v>
      </c>
      <c r="D235" s="379">
        <f>SUM(E235:G235)</f>
        <v>25.811545550394303</v>
      </c>
      <c r="E235" s="378">
        <f>('Pivot Table for Data Exchange'!$O$301)*100</f>
        <v>25.811545550394303</v>
      </c>
      <c r="F235" s="378">
        <f>('Pivot Table for Data Exchange'!$O$304)*100</f>
        <v>0</v>
      </c>
      <c r="G235" s="386">
        <f>('Pivot Table for Data Exchange'!$O$307)*100</f>
        <v>0</v>
      </c>
      <c r="H235" s="378">
        <f>('Pivot Table for Data Exchange'!$O$310)*100</f>
        <v>0</v>
      </c>
      <c r="I235" s="416"/>
      <c r="J235" s="416"/>
      <c r="K235" s="416"/>
      <c r="L235" s="416"/>
      <c r="M235" s="416"/>
      <c r="N235" s="416"/>
      <c r="O235" s="416"/>
      <c r="P235" s="417"/>
      <c r="Q235" s="383">
        <f t="shared" si="34"/>
        <v>99.999999999999986</v>
      </c>
      <c r="R235" s="383"/>
      <c r="Z235" s="432"/>
      <c r="AA235" s="432"/>
      <c r="AB235" s="432"/>
      <c r="AC235" s="432"/>
      <c r="AD235" s="432"/>
      <c r="AE235" s="432"/>
      <c r="AF235" s="432"/>
      <c r="AG235" s="432"/>
      <c r="AH235" s="432"/>
      <c r="AI235" s="432"/>
      <c r="AJ235" s="432"/>
      <c r="AK235" s="432"/>
      <c r="AL235" s="432"/>
      <c r="AM235" s="432"/>
      <c r="AN235" s="432"/>
      <c r="AO235" s="432"/>
    </row>
    <row r="236" spans="1:41" ht="15.75" customHeight="1">
      <c r="A236" s="349" t="s">
        <v>894</v>
      </c>
      <c r="B236" s="378">
        <f>('Pivot Table for Data Exchange'!$O$331)*100</f>
        <v>35.634790519172789</v>
      </c>
      <c r="C236" s="378">
        <f>('Pivot Table for Data Exchange'!$O$334)*100</f>
        <v>2.442987452297309</v>
      </c>
      <c r="D236" s="379">
        <f>SUM(E236:G236)</f>
        <v>61.922222028529909</v>
      </c>
      <c r="E236" s="378">
        <f>('Pivot Table for Data Exchange'!$O$337)*100</f>
        <v>61.379934244601941</v>
      </c>
      <c r="F236" s="378">
        <f>('Pivot Table for Data Exchange'!$O$340)*100</f>
        <v>0.46108912500489424</v>
      </c>
      <c r="G236" s="386">
        <f>('Pivot Table for Data Exchange'!$O$343)*100</f>
        <v>8.1198658923070918E-2</v>
      </c>
      <c r="H236" s="378">
        <f>('Pivot Table for Data Exchange'!$O$346)*100</f>
        <v>0</v>
      </c>
      <c r="I236" s="416"/>
      <c r="J236" s="416"/>
      <c r="K236" s="416"/>
      <c r="L236" s="416"/>
      <c r="M236" s="416"/>
      <c r="N236" s="416"/>
      <c r="O236" s="416"/>
      <c r="P236" s="417"/>
      <c r="Q236" s="383">
        <f t="shared" si="34"/>
        <v>100</v>
      </c>
      <c r="R236" s="383"/>
      <c r="Z236" s="432"/>
      <c r="AA236" s="432"/>
      <c r="AB236" s="432"/>
      <c r="AC236" s="432"/>
      <c r="AD236" s="432"/>
      <c r="AE236" s="432"/>
      <c r="AF236" s="432"/>
      <c r="AG236" s="432"/>
      <c r="AH236" s="432"/>
      <c r="AI236" s="432"/>
      <c r="AJ236" s="432"/>
      <c r="AK236" s="432"/>
      <c r="AL236" s="432"/>
      <c r="AM236" s="432"/>
      <c r="AN236" s="432"/>
      <c r="AO236" s="432"/>
    </row>
    <row r="237" spans="1:41" ht="15.75" customHeight="1">
      <c r="A237" s="349" t="s">
        <v>895</v>
      </c>
      <c r="B237" s="378">
        <f>('Pivot Table for Data Exchange'!$O$367)*100</f>
        <v>66.84666324660131</v>
      </c>
      <c r="C237" s="378">
        <f>('Pivot Table for Data Exchange'!$O$370)*100</f>
        <v>2.5747461539905281</v>
      </c>
      <c r="D237" s="379">
        <f>SUM(E237:G237)</f>
        <v>30.578590599408159</v>
      </c>
      <c r="E237" s="378">
        <f>('Pivot Table for Data Exchange'!$O$373)*100</f>
        <v>28.242988344667513</v>
      </c>
      <c r="F237" s="378">
        <f>('Pivot Table for Data Exchange'!$O$376)*100</f>
        <v>2.0098097484375099</v>
      </c>
      <c r="G237" s="386">
        <f>('Pivot Table for Data Exchange'!$O$379)*100</f>
        <v>0.32579250630313872</v>
      </c>
      <c r="H237" s="390">
        <f>('Pivot Table for Data Exchange'!$O$382)*100</f>
        <v>0</v>
      </c>
      <c r="I237" s="416"/>
      <c r="J237" s="416"/>
      <c r="K237" s="416"/>
      <c r="L237" s="416"/>
      <c r="M237" s="416"/>
      <c r="N237" s="416"/>
      <c r="O237" s="416"/>
      <c r="P237" s="417"/>
      <c r="Q237" s="383">
        <f t="shared" si="34"/>
        <v>100</v>
      </c>
      <c r="R237" s="383"/>
      <c r="Z237" s="432"/>
      <c r="AA237" s="432"/>
      <c r="AB237" s="432"/>
      <c r="AC237" s="432"/>
      <c r="AD237" s="432"/>
      <c r="AE237" s="432"/>
      <c r="AF237" s="432"/>
      <c r="AG237" s="432"/>
      <c r="AH237" s="432"/>
      <c r="AI237" s="432"/>
      <c r="AJ237" s="432"/>
      <c r="AK237" s="432"/>
      <c r="AL237" s="432"/>
      <c r="AM237" s="432"/>
      <c r="AN237" s="432"/>
      <c r="AO237" s="432"/>
    </row>
    <row r="238" spans="1:41" ht="15.75" customHeight="1">
      <c r="A238" s="349" t="s">
        <v>896</v>
      </c>
      <c r="B238" s="378">
        <f>('Pivot Table for Data Exchange'!$O$403)*100</f>
        <v>61.363566434949632</v>
      </c>
      <c r="C238" s="378">
        <f>('Pivot Table for Data Exchange'!$O$406)*100</f>
        <v>6.9501372500324159</v>
      </c>
      <c r="D238" s="379">
        <f>SUM(E238:G238)</f>
        <v>31.686296315017945</v>
      </c>
      <c r="E238" s="378">
        <f>('Pivot Table for Data Exchange'!$O$409)*100</f>
        <v>30.64692126968917</v>
      </c>
      <c r="F238" s="378">
        <f>('Pivot Table for Data Exchange'!$O$412)*100</f>
        <v>1.0393750453287738</v>
      </c>
      <c r="G238" s="386">
        <f>('Pivot Table for Data Exchange'!$O$415)*100</f>
        <v>0</v>
      </c>
      <c r="H238" s="378">
        <f>('Pivot Table for Data Exchange'!$O$418)*100</f>
        <v>0</v>
      </c>
      <c r="I238" s="416"/>
      <c r="J238" s="416"/>
      <c r="K238" s="416"/>
      <c r="L238" s="416"/>
      <c r="M238" s="416"/>
      <c r="N238" s="416"/>
      <c r="O238" s="416"/>
      <c r="P238" s="417"/>
      <c r="Q238" s="383">
        <f t="shared" si="34"/>
        <v>99.999999999999986</v>
      </c>
      <c r="R238" s="383"/>
      <c r="Z238" s="432"/>
      <c r="AA238" s="432"/>
      <c r="AB238" s="432"/>
      <c r="AC238" s="432"/>
      <c r="AD238" s="432"/>
      <c r="AE238" s="432"/>
      <c r="AF238" s="432"/>
      <c r="AG238" s="432"/>
      <c r="AH238" s="432"/>
      <c r="AI238" s="432"/>
      <c r="AJ238" s="432"/>
      <c r="AK238" s="432"/>
      <c r="AL238" s="432"/>
      <c r="AM238" s="432"/>
      <c r="AN238" s="432"/>
      <c r="AO238" s="432"/>
    </row>
    <row r="239" spans="1:41" ht="10.5" customHeight="1">
      <c r="B239" s="378"/>
      <c r="C239" s="378"/>
      <c r="D239" s="379"/>
      <c r="E239" s="378"/>
      <c r="F239" s="378"/>
      <c r="G239" s="386"/>
      <c r="H239" s="378"/>
      <c r="I239" s="416"/>
      <c r="J239" s="416"/>
      <c r="K239" s="416"/>
      <c r="L239" s="416"/>
      <c r="M239" s="416"/>
      <c r="N239" s="416"/>
      <c r="O239" s="416"/>
      <c r="P239" s="417"/>
      <c r="Q239" s="383">
        <f t="shared" si="34"/>
        <v>0</v>
      </c>
      <c r="R239" s="383"/>
      <c r="Z239" s="432"/>
      <c r="AA239" s="432"/>
      <c r="AB239" s="432"/>
      <c r="AC239" s="432"/>
      <c r="AD239" s="432"/>
      <c r="AE239" s="432"/>
      <c r="AF239" s="432"/>
      <c r="AG239" s="432"/>
      <c r="AH239" s="432"/>
      <c r="AI239" s="432"/>
      <c r="AJ239" s="432"/>
      <c r="AK239" s="432"/>
      <c r="AL239" s="432"/>
      <c r="AM239" s="432"/>
      <c r="AN239" s="432"/>
      <c r="AO239" s="432"/>
    </row>
    <row r="240" spans="1:41" ht="15.75" customHeight="1">
      <c r="A240" s="349" t="s">
        <v>897</v>
      </c>
      <c r="B240" s="378">
        <f>('Pivot Table for Data Exchange'!$O$439)*100</f>
        <v>38.738337525657144</v>
      </c>
      <c r="C240" s="378">
        <f>('Pivot Table for Data Exchange'!$O$442)*100</f>
        <v>34.431493170348958</v>
      </c>
      <c r="D240" s="379">
        <f>SUM(E240:G240)</f>
        <v>26.692045592877346</v>
      </c>
      <c r="E240" s="378">
        <f>('Pivot Table for Data Exchange'!$O$445)*100</f>
        <v>20.434535266743882</v>
      </c>
      <c r="F240" s="378">
        <f>('Pivot Table for Data Exchange'!$O$448)*100</f>
        <v>1.6340420710842951</v>
      </c>
      <c r="G240" s="386">
        <f>('Pivot Table for Data Exchange'!$O$451)*100</f>
        <v>4.6234682550491684</v>
      </c>
      <c r="H240" s="378">
        <f>('Pivot Table for Data Exchange'!$O$454)*100</f>
        <v>0.1381237111165482</v>
      </c>
      <c r="I240" s="416"/>
      <c r="J240" s="416"/>
      <c r="K240" s="416"/>
      <c r="L240" s="416"/>
      <c r="M240" s="416"/>
      <c r="N240" s="416"/>
      <c r="O240" s="416"/>
      <c r="P240" s="417"/>
      <c r="Q240" s="383">
        <f t="shared" si="34"/>
        <v>100</v>
      </c>
      <c r="R240" s="383"/>
      <c r="Z240" s="432"/>
      <c r="AA240" s="432"/>
      <c r="AB240" s="432"/>
      <c r="AC240" s="432"/>
      <c r="AD240" s="432"/>
      <c r="AE240" s="432"/>
      <c r="AF240" s="432"/>
      <c r="AG240" s="432"/>
      <c r="AH240" s="432"/>
      <c r="AI240" s="432"/>
      <c r="AJ240" s="432"/>
      <c r="AK240" s="432"/>
      <c r="AL240" s="432"/>
      <c r="AM240" s="432"/>
      <c r="AN240" s="432"/>
      <c r="AO240" s="432"/>
    </row>
    <row r="241" spans="1:41" ht="15.75" customHeight="1">
      <c r="A241" s="349" t="s">
        <v>898</v>
      </c>
      <c r="B241" s="378">
        <f>('Pivot Table for Data Exchange'!$O$475)*100</f>
        <v>58.931940304823705</v>
      </c>
      <c r="C241" s="378">
        <f>('Pivot Table for Data Exchange'!$O$478)*100</f>
        <v>13.230680894910893</v>
      </c>
      <c r="D241" s="379">
        <f>SUM(E241:G241)</f>
        <v>27.837378800265402</v>
      </c>
      <c r="E241" s="378">
        <f>('Pivot Table for Data Exchange'!$O$481)*100</f>
        <v>27.272976553423245</v>
      </c>
      <c r="F241" s="378">
        <f>('Pivot Table for Data Exchange'!$O$484)*100</f>
        <v>0.43061571815023802</v>
      </c>
      <c r="G241" s="386">
        <f>('Pivot Table for Data Exchange'!$O$487)*100</f>
        <v>0.13378652869191696</v>
      </c>
      <c r="H241" s="378">
        <f>('Pivot Table for Data Exchange'!$O$490)*100</f>
        <v>0</v>
      </c>
      <c r="I241" s="416"/>
      <c r="J241" s="416"/>
      <c r="K241" s="416"/>
      <c r="L241" s="416"/>
      <c r="M241" s="416"/>
      <c r="N241" s="416"/>
      <c r="O241" s="416"/>
      <c r="P241" s="417"/>
      <c r="Q241" s="383">
        <f t="shared" si="34"/>
        <v>100</v>
      </c>
      <c r="R241" s="383"/>
      <c r="Z241" s="432"/>
      <c r="AA241" s="432"/>
      <c r="AB241" s="432"/>
      <c r="AC241" s="432"/>
      <c r="AD241" s="432"/>
      <c r="AE241" s="432"/>
      <c r="AF241" s="432"/>
      <c r="AG241" s="432"/>
      <c r="AH241" s="432"/>
      <c r="AI241" s="432"/>
      <c r="AJ241" s="432"/>
      <c r="AK241" s="432"/>
      <c r="AL241" s="432"/>
      <c r="AM241" s="432"/>
      <c r="AN241" s="432"/>
      <c r="AO241" s="432"/>
    </row>
    <row r="242" spans="1:41" ht="15.75" customHeight="1">
      <c r="A242" s="349" t="s">
        <v>899</v>
      </c>
      <c r="B242" s="378">
        <f>('Pivot Table for Data Exchange'!$O$511)*100</f>
        <v>55.634256298597151</v>
      </c>
      <c r="C242" s="378">
        <f>('Pivot Table for Data Exchange'!$O$514)*100</f>
        <v>14.44490123231216</v>
      </c>
      <c r="D242" s="379">
        <f>SUM(E242:G242)</f>
        <v>29.92084246909069</v>
      </c>
      <c r="E242" s="378">
        <f>('Pivot Table for Data Exchange'!$O$517)*100</f>
        <v>27.813178837525633</v>
      </c>
      <c r="F242" s="378">
        <f>('Pivot Table for Data Exchange'!$O$520)*100</f>
        <v>2.1076636315650568</v>
      </c>
      <c r="G242" s="386">
        <f>('Pivot Table for Data Exchange'!$O$523)*100</f>
        <v>0</v>
      </c>
      <c r="H242" s="378">
        <f>('Pivot Table for Data Exchange'!$O$526)*100</f>
        <v>0</v>
      </c>
      <c r="I242" s="416"/>
      <c r="J242" s="416"/>
      <c r="K242" s="416"/>
      <c r="L242" s="416"/>
      <c r="M242" s="416"/>
      <c r="N242" s="416"/>
      <c r="O242" s="416"/>
      <c r="P242" s="417"/>
      <c r="Q242" s="383">
        <f t="shared" si="34"/>
        <v>100</v>
      </c>
      <c r="R242" s="383"/>
      <c r="Z242" s="432"/>
      <c r="AA242" s="432"/>
      <c r="AB242" s="432"/>
      <c r="AC242" s="432"/>
      <c r="AD242" s="432"/>
      <c r="AE242" s="432"/>
      <c r="AF242" s="432"/>
      <c r="AG242" s="432"/>
      <c r="AH242" s="432"/>
      <c r="AI242" s="432"/>
      <c r="AJ242" s="432"/>
      <c r="AK242" s="432"/>
      <c r="AL242" s="432"/>
      <c r="AM242" s="432"/>
      <c r="AN242" s="432"/>
      <c r="AO242" s="432"/>
    </row>
    <row r="243" spans="1:41" ht="15.75" customHeight="1">
      <c r="A243" s="355" t="s">
        <v>900</v>
      </c>
      <c r="B243" s="391">
        <f>('Pivot Table for Data Exchange'!$O$547)*100</f>
        <v>61.471637071208832</v>
      </c>
      <c r="C243" s="391">
        <f>('Pivot Table for Data Exchange'!$O$550)*100</f>
        <v>11.30766165059039</v>
      </c>
      <c r="D243" s="392">
        <f>SUM(E243:G243)</f>
        <v>27.220701278200774</v>
      </c>
      <c r="E243" s="391">
        <f>('Pivot Table for Data Exchange'!$O$553)*100</f>
        <v>25.137861781353948</v>
      </c>
      <c r="F243" s="391">
        <f>('Pivot Table for Data Exchange'!$O$556)*100</f>
        <v>1.4115691887710049</v>
      </c>
      <c r="G243" s="393">
        <f>('Pivot Table for Data Exchange'!$O$559)*100</f>
        <v>0.671270308075822</v>
      </c>
      <c r="H243" s="391">
        <f>('Pivot Table for Data Exchange'!$O$562)*100</f>
        <v>0</v>
      </c>
      <c r="I243" s="416"/>
      <c r="J243" s="416"/>
      <c r="K243" s="416"/>
      <c r="L243" s="416"/>
      <c r="M243" s="416"/>
      <c r="N243" s="416"/>
      <c r="O243" s="416"/>
      <c r="P243" s="417"/>
      <c r="Q243" s="383">
        <f t="shared" si="34"/>
        <v>100</v>
      </c>
      <c r="R243" s="383"/>
      <c r="Z243" s="432"/>
      <c r="AA243" s="432"/>
      <c r="AB243" s="432"/>
      <c r="AC243" s="432"/>
      <c r="AD243" s="432"/>
      <c r="AE243" s="432"/>
      <c r="AF243" s="432"/>
      <c r="AG243" s="432"/>
      <c r="AH243" s="432"/>
      <c r="AI243" s="432"/>
      <c r="AJ243" s="432"/>
      <c r="AK243" s="432"/>
      <c r="AL243" s="432"/>
      <c r="AM243" s="432"/>
      <c r="AN243" s="432"/>
      <c r="AO243" s="432"/>
    </row>
    <row r="244" spans="1:41" s="422" customFormat="1" ht="12.75" customHeight="1">
      <c r="A244" s="397" t="s">
        <v>926</v>
      </c>
      <c r="B244" s="398"/>
      <c r="C244" s="398"/>
      <c r="D244" s="399"/>
      <c r="E244" s="398"/>
      <c r="F244" s="399"/>
      <c r="G244" s="399"/>
      <c r="H244" s="398"/>
      <c r="I244" s="407"/>
      <c r="J244" s="398"/>
      <c r="K244" s="398"/>
      <c r="L244" s="399"/>
      <c r="M244" s="398"/>
      <c r="N244" s="399"/>
      <c r="O244" s="399"/>
      <c r="P244" s="398"/>
      <c r="Q244" s="383">
        <f t="shared" si="34"/>
        <v>0</v>
      </c>
      <c r="R244" s="418"/>
      <c r="S244" s="435"/>
      <c r="T244" s="435"/>
      <c r="U244" s="435"/>
      <c r="V244" s="435"/>
      <c r="W244" s="435"/>
      <c r="X244" s="435"/>
      <c r="Y244" s="435"/>
      <c r="Z244" s="435"/>
      <c r="AA244" s="435"/>
      <c r="AB244" s="435"/>
      <c r="AC244" s="435"/>
      <c r="AD244" s="435"/>
      <c r="AE244" s="435"/>
      <c r="AF244" s="435"/>
      <c r="AG244" s="435"/>
      <c r="AH244" s="435"/>
      <c r="AI244" s="435"/>
      <c r="AJ244" s="435"/>
      <c r="AK244" s="435"/>
      <c r="AL244" s="435"/>
      <c r="AM244" s="435"/>
      <c r="AN244" s="435"/>
      <c r="AO244" s="435"/>
    </row>
    <row r="245" spans="1:41" s="422" customFormat="1" ht="24.75" customHeight="1">
      <c r="A245" s="501" t="s">
        <v>941</v>
      </c>
      <c r="B245" s="502"/>
      <c r="C245" s="502"/>
      <c r="D245" s="502"/>
      <c r="E245" s="502"/>
      <c r="F245" s="502"/>
      <c r="G245" s="502"/>
      <c r="H245" s="502"/>
      <c r="I245" s="407"/>
      <c r="J245" s="396"/>
      <c r="K245" s="396"/>
      <c r="L245" s="396"/>
      <c r="M245" s="396"/>
      <c r="N245" s="396"/>
      <c r="O245" s="396"/>
      <c r="P245" s="409"/>
      <c r="Q245" s="383">
        <f t="shared" si="34"/>
        <v>0</v>
      </c>
      <c r="R245" s="419"/>
    </row>
    <row r="246" spans="1:41" ht="12" customHeight="1">
      <c r="B246" s="420"/>
      <c r="C246" s="420"/>
      <c r="D246" s="421"/>
      <c r="E246" s="420"/>
      <c r="F246" s="421"/>
      <c r="G246" s="421"/>
      <c r="H246" s="420"/>
      <c r="I246" s="349"/>
      <c r="J246" s="420"/>
      <c r="K246" s="420"/>
      <c r="L246" s="421"/>
      <c r="M246" s="420"/>
      <c r="N246" s="421"/>
      <c r="O246" s="421"/>
      <c r="P246" s="420"/>
      <c r="Q246" s="383">
        <f t="shared" si="34"/>
        <v>0</v>
      </c>
      <c r="R246" s="383"/>
      <c r="S246" s="432"/>
      <c r="T246" s="432"/>
      <c r="U246" s="432"/>
      <c r="V246" s="432"/>
      <c r="W246" s="432"/>
      <c r="X246" s="432"/>
      <c r="Y246" s="432"/>
      <c r="Z246" s="432"/>
      <c r="AA246" s="432"/>
      <c r="AB246" s="432"/>
      <c r="AC246" s="432"/>
      <c r="AD246" s="432"/>
      <c r="AE246" s="432"/>
      <c r="AF246" s="432"/>
      <c r="AG246" s="432"/>
      <c r="AH246" s="432"/>
      <c r="AI246" s="432"/>
      <c r="AJ246" s="432"/>
      <c r="AK246" s="432"/>
      <c r="AL246" s="432"/>
      <c r="AM246" s="432"/>
      <c r="AN246" s="432"/>
      <c r="AO246" s="432"/>
    </row>
    <row r="247" spans="1:41" s="422" customFormat="1">
      <c r="A247" s="396"/>
      <c r="B247" s="396"/>
      <c r="C247" s="396"/>
      <c r="D247" s="396"/>
      <c r="E247" s="396"/>
      <c r="F247" s="396"/>
      <c r="G247" s="396"/>
      <c r="H247" s="402" t="s">
        <v>1007</v>
      </c>
      <c r="I247" s="396"/>
      <c r="J247" s="396"/>
      <c r="K247" s="396"/>
      <c r="L247" s="396"/>
      <c r="M247" s="396"/>
      <c r="N247" s="396"/>
      <c r="O247" s="396"/>
      <c r="P247" s="396"/>
      <c r="Q247" s="383">
        <f t="shared" si="34"/>
        <v>0</v>
      </c>
    </row>
    <row r="248" spans="1:41" ht="18">
      <c r="A248" s="344" t="s">
        <v>942</v>
      </c>
      <c r="B248" s="345"/>
      <c r="C248" s="345"/>
      <c r="D248" s="345"/>
      <c r="E248" s="345"/>
      <c r="F248" s="345"/>
      <c r="G248" s="345"/>
      <c r="H248" s="345"/>
      <c r="Q248" s="383">
        <f t="shared" si="34"/>
        <v>0</v>
      </c>
    </row>
    <row r="249" spans="1:41">
      <c r="A249" s="350"/>
      <c r="B249" s="346"/>
      <c r="C249" s="346"/>
      <c r="D249" s="346"/>
      <c r="E249" s="346"/>
      <c r="F249" s="346"/>
      <c r="G249" s="346"/>
      <c r="H249" s="346"/>
      <c r="Q249" s="383">
        <f t="shared" si="34"/>
        <v>0</v>
      </c>
    </row>
    <row r="250" spans="1:41" ht="15.75">
      <c r="A250" s="352" t="s">
        <v>906</v>
      </c>
      <c r="B250" s="346"/>
      <c r="C250" s="346"/>
      <c r="D250" s="346"/>
      <c r="E250" s="346"/>
      <c r="F250" s="346"/>
      <c r="G250" s="346"/>
      <c r="H250" s="346"/>
      <c r="Q250" s="383">
        <f t="shared" si="34"/>
        <v>0</v>
      </c>
    </row>
    <row r="251" spans="1:41" ht="15.75">
      <c r="A251" s="352" t="s">
        <v>974</v>
      </c>
      <c r="B251" s="346"/>
      <c r="C251" s="346"/>
      <c r="D251" s="346"/>
      <c r="E251" s="346"/>
      <c r="F251" s="346"/>
      <c r="G251" s="346"/>
      <c r="H251" s="346"/>
      <c r="Q251" s="383">
        <f t="shared" si="34"/>
        <v>0</v>
      </c>
    </row>
    <row r="252" spans="1:41">
      <c r="A252" s="355"/>
      <c r="B252" s="356"/>
      <c r="C252" s="356"/>
      <c r="D252" s="356"/>
      <c r="E252" s="356"/>
      <c r="F252" s="356"/>
      <c r="G252" s="356"/>
      <c r="H252" s="356"/>
      <c r="Q252" s="383">
        <f t="shared" si="34"/>
        <v>0</v>
      </c>
    </row>
    <row r="253" spans="1:41">
      <c r="A253" s="360"/>
      <c r="B253" s="361" t="s">
        <v>908</v>
      </c>
      <c r="C253" s="361"/>
      <c r="D253" s="361"/>
      <c r="E253" s="361"/>
      <c r="F253" s="361"/>
      <c r="G253" s="361"/>
      <c r="H253" s="362"/>
      <c r="Q253" s="383">
        <f t="shared" si="34"/>
        <v>0</v>
      </c>
    </row>
    <row r="254" spans="1:41">
      <c r="A254" s="360"/>
      <c r="B254" s="361" t="s">
        <v>909</v>
      </c>
      <c r="C254" s="361"/>
      <c r="D254" s="506" t="s">
        <v>910</v>
      </c>
      <c r="E254" s="504"/>
      <c r="F254" s="504"/>
      <c r="G254" s="504"/>
      <c r="H254" s="368" t="s">
        <v>800</v>
      </c>
      <c r="Q254" s="383">
        <f t="shared" si="34"/>
        <v>0</v>
      </c>
    </row>
    <row r="255" spans="1:41" ht="36">
      <c r="A255" s="360"/>
      <c r="B255" s="369" t="s">
        <v>911</v>
      </c>
      <c r="C255" s="370" t="s">
        <v>912</v>
      </c>
      <c r="D255" s="371" t="s">
        <v>913</v>
      </c>
      <c r="E255" s="372" t="s">
        <v>10</v>
      </c>
      <c r="F255" s="369" t="s">
        <v>914</v>
      </c>
      <c r="G255" s="373" t="s">
        <v>924</v>
      </c>
      <c r="H255" s="374" t="s">
        <v>916</v>
      </c>
      <c r="Q255" s="383">
        <f t="shared" si="34"/>
        <v>0</v>
      </c>
    </row>
    <row r="256" spans="1:41" ht="15.75" customHeight="1">
      <c r="A256" s="404" t="s">
        <v>885</v>
      </c>
      <c r="B256" s="431">
        <f>('Pivot Table for Data Exchange'!$K$7)*100</f>
        <v>0</v>
      </c>
      <c r="C256" s="378">
        <f>('Pivot Table for Data Exchange'!$K$10)*100</f>
        <v>0</v>
      </c>
      <c r="D256" s="379">
        <f>SUM(E256:G256)</f>
        <v>0</v>
      </c>
      <c r="E256" s="378">
        <f>('Pivot Table for Data Exchange'!$K$13)*100</f>
        <v>0</v>
      </c>
      <c r="F256" s="378">
        <f>('Pivot Table for Data Exchange'!$K$16)*100</f>
        <v>0</v>
      </c>
      <c r="G256" s="382">
        <f>('Pivot Table for Data Exchange'!$K$19)*100</f>
        <v>0</v>
      </c>
      <c r="H256" s="378">
        <f>('Pivot Table for Data Exchange'!$K$22)*100</f>
        <v>0</v>
      </c>
      <c r="I256" s="349"/>
      <c r="J256" s="417"/>
      <c r="K256" s="417"/>
      <c r="L256" s="417"/>
      <c r="M256" s="417"/>
      <c r="N256" s="417"/>
      <c r="O256" s="417"/>
      <c r="P256" s="417"/>
      <c r="Q256" s="383">
        <f t="shared" si="34"/>
        <v>0</v>
      </c>
      <c r="R256" s="383"/>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row>
    <row r="257" spans="1:41" ht="15.75" customHeight="1">
      <c r="A257" s="349" t="s">
        <v>886</v>
      </c>
      <c r="B257" s="378">
        <f>('Pivot Table for Data Exchange'!$K$43)*100</f>
        <v>0</v>
      </c>
      <c r="C257" s="378">
        <f>('Pivot Table for Data Exchange'!$K$46)*100</f>
        <v>0</v>
      </c>
      <c r="D257" s="379">
        <f t="shared" ref="D257:D259" si="37">SUM(E257:G257)</f>
        <v>0</v>
      </c>
      <c r="E257" s="378">
        <f>('Pivot Table for Data Exchange'!$K$49)*100</f>
        <v>0</v>
      </c>
      <c r="F257" s="378">
        <f>('Pivot Table for Data Exchange'!$K$52)*100</f>
        <v>0</v>
      </c>
      <c r="G257" s="386">
        <f>('Pivot Table for Data Exchange'!$K$55)*100</f>
        <v>0</v>
      </c>
      <c r="H257" s="378">
        <f>('Pivot Table for Data Exchange'!$K$58)*100</f>
        <v>0</v>
      </c>
      <c r="I257" s="349"/>
      <c r="J257" s="417"/>
      <c r="K257" s="417"/>
      <c r="L257" s="417"/>
      <c r="M257" s="417"/>
      <c r="N257" s="417"/>
      <c r="O257" s="417"/>
      <c r="P257" s="417"/>
      <c r="Q257" s="383">
        <f t="shared" si="34"/>
        <v>0</v>
      </c>
      <c r="R257" s="383"/>
      <c r="S257" s="432"/>
      <c r="T257" s="432"/>
      <c r="U257" s="432"/>
      <c r="V257" s="432"/>
      <c r="W257" s="432"/>
      <c r="X257" s="432"/>
      <c r="Y257" s="432"/>
      <c r="Z257" s="432"/>
      <c r="AA257" s="432"/>
      <c r="AB257" s="432"/>
      <c r="AC257" s="432"/>
      <c r="AD257" s="432"/>
      <c r="AE257" s="432"/>
      <c r="AF257" s="432"/>
      <c r="AG257" s="432"/>
      <c r="AH257" s="432"/>
      <c r="AI257" s="432"/>
      <c r="AJ257" s="432"/>
      <c r="AK257" s="432"/>
      <c r="AL257" s="432"/>
      <c r="AM257" s="432"/>
      <c r="AN257" s="432"/>
      <c r="AO257" s="432"/>
    </row>
    <row r="258" spans="1:41" ht="15.75" customHeight="1">
      <c r="A258" s="349" t="s">
        <v>887</v>
      </c>
      <c r="B258" s="378">
        <f>('Pivot Table for Data Exchange'!$K$79)*100</f>
        <v>0</v>
      </c>
      <c r="C258" s="378">
        <f>('Pivot Table for Data Exchange'!$K$82)*100</f>
        <v>0</v>
      </c>
      <c r="D258" s="379">
        <f t="shared" si="37"/>
        <v>0</v>
      </c>
      <c r="E258" s="378">
        <f>('Pivot Table for Data Exchange'!$K$85)*100</f>
        <v>0</v>
      </c>
      <c r="F258" s="378">
        <f>('Pivot Table for Data Exchange'!$K$88)*100</f>
        <v>0</v>
      </c>
      <c r="G258" s="386">
        <f>('Pivot Table for Data Exchange'!$K$91)*100</f>
        <v>0</v>
      </c>
      <c r="H258" s="378">
        <f>('Pivot Table for Data Exchange'!$K$94)*100</f>
        <v>0</v>
      </c>
      <c r="I258" s="349"/>
      <c r="J258" s="417"/>
      <c r="K258" s="417"/>
      <c r="L258" s="417"/>
      <c r="M258" s="417"/>
      <c r="N258" s="417"/>
      <c r="O258" s="417"/>
      <c r="P258" s="417"/>
      <c r="Q258" s="383">
        <f t="shared" si="34"/>
        <v>0</v>
      </c>
      <c r="R258" s="383"/>
      <c r="S258" s="432"/>
      <c r="T258" s="436"/>
      <c r="U258" s="432"/>
      <c r="V258" s="432"/>
      <c r="W258" s="432"/>
      <c r="X258" s="432"/>
      <c r="Y258" s="432"/>
      <c r="Z258" s="432"/>
      <c r="AA258" s="432"/>
      <c r="AB258" s="432"/>
      <c r="AC258" s="432"/>
      <c r="AD258" s="432"/>
      <c r="AE258" s="432"/>
      <c r="AF258" s="432"/>
      <c r="AG258" s="432"/>
      <c r="AH258" s="432"/>
      <c r="AI258" s="432"/>
      <c r="AJ258" s="432"/>
      <c r="AK258" s="432"/>
      <c r="AL258" s="432"/>
      <c r="AM258" s="432"/>
      <c r="AN258" s="432"/>
      <c r="AO258" s="432"/>
    </row>
    <row r="259" spans="1:41" ht="15.75" customHeight="1">
      <c r="A259" s="349" t="s">
        <v>925</v>
      </c>
      <c r="B259" s="378">
        <f>('Pivot Table for Data Exchange'!$K$115)*100</f>
        <v>70.210618182509577</v>
      </c>
      <c r="C259" s="378">
        <f>('Pivot Table for Data Exchange'!$K$118)*100</f>
        <v>3.4963641510408698</v>
      </c>
      <c r="D259" s="379">
        <f t="shared" si="37"/>
        <v>26.252214200931927</v>
      </c>
      <c r="E259" s="378">
        <f>('Pivot Table for Data Exchange'!$K$121)*100</f>
        <v>26.191772034965894</v>
      </c>
      <c r="F259" s="378">
        <f>('Pivot Table for Data Exchange'!$K$124)*100</f>
        <v>1.1670641731437894E-2</v>
      </c>
      <c r="G259" s="386">
        <f>('Pivot Table for Data Exchange'!$K$127)*100</f>
        <v>4.877152423459416E-2</v>
      </c>
      <c r="H259" s="390">
        <f>('Pivot Table for Data Exchange'!$K$130)*100</f>
        <v>4.080346551763174E-2</v>
      </c>
      <c r="I259" s="349"/>
      <c r="J259" s="417"/>
      <c r="K259" s="417"/>
      <c r="L259" s="417"/>
      <c r="M259" s="417"/>
      <c r="N259" s="417"/>
      <c r="O259" s="417"/>
      <c r="P259" s="417"/>
      <c r="Q259" s="383">
        <f t="shared" si="34"/>
        <v>100</v>
      </c>
      <c r="R259" s="383"/>
      <c r="S259" s="432"/>
      <c r="U259" s="432"/>
      <c r="V259" s="432"/>
      <c r="W259" s="432"/>
      <c r="X259" s="432"/>
      <c r="Y259" s="432"/>
      <c r="Z259" s="432"/>
      <c r="AA259" s="432"/>
      <c r="AB259" s="432"/>
      <c r="AC259" s="432"/>
      <c r="AD259" s="432"/>
      <c r="AE259" s="432"/>
      <c r="AF259" s="432"/>
      <c r="AG259" s="432"/>
      <c r="AH259" s="432"/>
      <c r="AI259" s="432"/>
      <c r="AJ259" s="432"/>
      <c r="AK259" s="432"/>
      <c r="AL259" s="432"/>
      <c r="AM259" s="432"/>
      <c r="AN259" s="432"/>
      <c r="AO259" s="432"/>
    </row>
    <row r="260" spans="1:41" ht="15.75" customHeight="1">
      <c r="B260" s="378"/>
      <c r="C260" s="378"/>
      <c r="D260" s="379"/>
      <c r="E260" s="378"/>
      <c r="F260" s="378"/>
      <c r="G260" s="386"/>
      <c r="H260" s="378"/>
      <c r="I260" s="349"/>
      <c r="J260" s="417"/>
      <c r="K260" s="417"/>
      <c r="L260" s="417"/>
      <c r="M260" s="417"/>
      <c r="N260" s="417"/>
      <c r="O260" s="417"/>
      <c r="P260" s="417"/>
      <c r="Q260" s="383">
        <f t="shared" si="34"/>
        <v>0</v>
      </c>
      <c r="R260" s="383"/>
      <c r="S260" s="432"/>
      <c r="U260" s="432"/>
      <c r="V260" s="432"/>
      <c r="W260" s="432"/>
      <c r="X260" s="432"/>
      <c r="Y260" s="432"/>
      <c r="Z260" s="432"/>
      <c r="AA260" s="432"/>
      <c r="AB260" s="432"/>
      <c r="AC260" s="432"/>
      <c r="AD260" s="432"/>
      <c r="AE260" s="432"/>
      <c r="AF260" s="432"/>
      <c r="AG260" s="432"/>
      <c r="AH260" s="432"/>
      <c r="AI260" s="432"/>
      <c r="AJ260" s="432"/>
      <c r="AK260" s="432"/>
      <c r="AL260" s="432"/>
      <c r="AM260" s="432"/>
      <c r="AN260" s="432"/>
      <c r="AO260" s="432"/>
    </row>
    <row r="261" spans="1:41" ht="15.75" customHeight="1">
      <c r="A261" s="349" t="s">
        <v>889</v>
      </c>
      <c r="B261" s="378">
        <f>('Pivot Table for Data Exchange'!$K$151)*100</f>
        <v>66.901538548037962</v>
      </c>
      <c r="C261" s="378">
        <f>('Pivot Table for Data Exchange'!$K$154)*100</f>
        <v>13.816410375861945</v>
      </c>
      <c r="D261" s="379">
        <f t="shared" ref="D261:D262" si="38">SUM(E261:G261)</f>
        <v>19.282051076100096</v>
      </c>
      <c r="E261" s="378">
        <f>('Pivot Table for Data Exchange'!$K$157)*100</f>
        <v>18.026232826374191</v>
      </c>
      <c r="F261" s="378">
        <f>('Pivot Table for Data Exchange'!$K$160)*100</f>
        <v>0</v>
      </c>
      <c r="G261" s="386">
        <f>('Pivot Table for Data Exchange'!$K$163)*100</f>
        <v>1.2558182497259047</v>
      </c>
      <c r="H261" s="390">
        <f>('Pivot Table for Data Exchange'!$K$166)*100</f>
        <v>0</v>
      </c>
      <c r="I261" s="349"/>
      <c r="J261" s="417"/>
      <c r="K261" s="417"/>
      <c r="L261" s="417"/>
      <c r="M261" s="417"/>
      <c r="N261" s="417"/>
      <c r="O261" s="417"/>
      <c r="P261" s="417"/>
      <c r="Q261" s="383">
        <f t="shared" si="34"/>
        <v>100</v>
      </c>
      <c r="R261" s="383"/>
      <c r="S261" s="432"/>
      <c r="T261" s="432"/>
      <c r="U261" s="432"/>
      <c r="V261" s="432"/>
      <c r="W261" s="432"/>
      <c r="X261" s="432"/>
      <c r="Y261" s="432"/>
      <c r="Z261" s="432"/>
      <c r="AA261" s="432"/>
      <c r="AB261" s="432"/>
      <c r="AC261" s="432"/>
      <c r="AD261" s="432"/>
      <c r="AE261" s="432"/>
      <c r="AF261" s="432"/>
      <c r="AG261" s="432"/>
      <c r="AH261" s="432"/>
      <c r="AI261" s="432"/>
      <c r="AJ261" s="432"/>
      <c r="AK261" s="432"/>
      <c r="AL261" s="432"/>
      <c r="AM261" s="432"/>
      <c r="AN261" s="432"/>
      <c r="AO261" s="432"/>
    </row>
    <row r="262" spans="1:41" ht="15.75" customHeight="1">
      <c r="A262" s="349" t="s">
        <v>890</v>
      </c>
      <c r="B262" s="378">
        <f>('Pivot Table for Data Exchange'!$K$187)*100</f>
        <v>0</v>
      </c>
      <c r="C262" s="378">
        <f>('Pivot Table for Data Exchange'!$K$190)*100</f>
        <v>0</v>
      </c>
      <c r="D262" s="379">
        <f t="shared" si="38"/>
        <v>0</v>
      </c>
      <c r="E262" s="378">
        <f>('Pivot Table for Data Exchange'!$K$193)*100</f>
        <v>0</v>
      </c>
      <c r="F262" s="378">
        <f>('Pivot Table for Data Exchange'!$K$196)*100</f>
        <v>0</v>
      </c>
      <c r="G262" s="386">
        <f>('Pivot Table for Data Exchange'!$K$199)*100</f>
        <v>0</v>
      </c>
      <c r="H262" s="378">
        <f>('Pivot Table for Data Exchange'!$K$202)*100</f>
        <v>0</v>
      </c>
      <c r="I262" s="349"/>
      <c r="J262" s="417"/>
      <c r="K262" s="417"/>
      <c r="L262" s="417"/>
      <c r="M262" s="417"/>
      <c r="N262" s="417"/>
      <c r="O262" s="417"/>
      <c r="P262" s="417"/>
      <c r="Q262" s="383">
        <f t="shared" si="34"/>
        <v>0</v>
      </c>
      <c r="R262" s="383"/>
      <c r="S262" s="432"/>
      <c r="T262" s="432"/>
      <c r="U262" s="432"/>
      <c r="V262" s="432"/>
      <c r="W262" s="432"/>
      <c r="X262" s="432"/>
      <c r="Y262" s="432"/>
      <c r="Z262" s="432"/>
      <c r="AA262" s="432"/>
      <c r="AB262" s="432"/>
      <c r="AC262" s="432"/>
      <c r="AD262" s="432"/>
      <c r="AE262" s="432"/>
      <c r="AF262" s="432"/>
      <c r="AG262" s="432"/>
      <c r="AH262" s="432"/>
      <c r="AI262" s="432"/>
      <c r="AJ262" s="432"/>
      <c r="AK262" s="432"/>
      <c r="AL262" s="432"/>
      <c r="AM262" s="432"/>
      <c r="AN262" s="432"/>
      <c r="AO262" s="432"/>
    </row>
    <row r="263" spans="1:41" ht="15.75" customHeight="1">
      <c r="A263" s="349" t="s">
        <v>891</v>
      </c>
      <c r="B263" s="378">
        <f>('Pivot Table for Data Exchange'!$K$223)*100</f>
        <v>0</v>
      </c>
      <c r="C263" s="378">
        <f>('Pivot Table for Data Exchange'!$K$226)*100</f>
        <v>0</v>
      </c>
      <c r="D263" s="379">
        <f>SUM(E263:G263)</f>
        <v>0</v>
      </c>
      <c r="E263" s="378">
        <f>('Pivot Table for Data Exchange'!$K$229)*100</f>
        <v>0</v>
      </c>
      <c r="F263" s="378">
        <f>('Pivot Table for Data Exchange'!$K$232)*100</f>
        <v>0</v>
      </c>
      <c r="G263" s="386">
        <f>('Pivot Table for Data Exchange'!$K$235)*100</f>
        <v>0</v>
      </c>
      <c r="H263" s="378">
        <f>('Pivot Table for Data Exchange'!$K$238)*100</f>
        <v>0</v>
      </c>
      <c r="I263" s="349"/>
      <c r="J263" s="417"/>
      <c r="K263" s="417"/>
      <c r="L263" s="417"/>
      <c r="M263" s="417"/>
      <c r="N263" s="417"/>
      <c r="O263" s="417"/>
      <c r="P263" s="417"/>
      <c r="Q263" s="383">
        <f t="shared" si="34"/>
        <v>0</v>
      </c>
      <c r="R263" s="383"/>
      <c r="S263" s="432"/>
      <c r="T263" s="436"/>
      <c r="U263" s="432"/>
      <c r="V263" s="432"/>
      <c r="W263" s="432"/>
      <c r="X263" s="432"/>
      <c r="Y263" s="432"/>
      <c r="Z263" s="432"/>
      <c r="AA263" s="432"/>
      <c r="AB263" s="432"/>
      <c r="AC263" s="432"/>
      <c r="AD263" s="432"/>
      <c r="AE263" s="432"/>
      <c r="AF263" s="432"/>
      <c r="AG263" s="432"/>
      <c r="AH263" s="432"/>
      <c r="AI263" s="432"/>
      <c r="AJ263" s="432"/>
      <c r="AK263" s="432"/>
      <c r="AL263" s="432"/>
      <c r="AM263" s="432"/>
      <c r="AN263" s="432"/>
      <c r="AO263" s="432"/>
    </row>
    <row r="264" spans="1:41" ht="15.75" customHeight="1">
      <c r="A264" s="349" t="s">
        <v>892</v>
      </c>
      <c r="B264" s="378">
        <f>('Pivot Table for Data Exchange'!$K$259)*100</f>
        <v>0</v>
      </c>
      <c r="C264" s="378">
        <f>('Pivot Table for Data Exchange'!$K$262)*100</f>
        <v>0</v>
      </c>
      <c r="D264" s="379">
        <f>SUM(E264:G264)</f>
        <v>0</v>
      </c>
      <c r="E264" s="378">
        <f>('Pivot Table for Data Exchange'!$K$265)*100</f>
        <v>0</v>
      </c>
      <c r="F264" s="378">
        <f>('Pivot Table for Data Exchange'!$K$268)*100</f>
        <v>0</v>
      </c>
      <c r="G264" s="386">
        <f>('Pivot Table for Data Exchange'!$K$271)*100</f>
        <v>0</v>
      </c>
      <c r="H264" s="378">
        <f>('Pivot Table for Data Exchange'!$K$274)*100</f>
        <v>0</v>
      </c>
      <c r="I264" s="349"/>
      <c r="J264" s="417"/>
      <c r="K264" s="417"/>
      <c r="L264" s="417"/>
      <c r="M264" s="417"/>
      <c r="N264" s="417"/>
      <c r="O264" s="417"/>
      <c r="P264" s="417"/>
      <c r="Q264" s="383">
        <f t="shared" si="34"/>
        <v>0</v>
      </c>
      <c r="R264" s="383"/>
      <c r="S264" s="432"/>
      <c r="U264" s="432"/>
      <c r="V264" s="432"/>
      <c r="W264" s="432"/>
      <c r="X264" s="432"/>
      <c r="Y264" s="432"/>
      <c r="Z264" s="432"/>
      <c r="AA264" s="432"/>
      <c r="AB264" s="432"/>
      <c r="AC264" s="432"/>
      <c r="AD264" s="432"/>
      <c r="AE264" s="432"/>
      <c r="AF264" s="432"/>
      <c r="AG264" s="432"/>
      <c r="AH264" s="432"/>
      <c r="AI264" s="432"/>
      <c r="AJ264" s="432"/>
      <c r="AK264" s="432"/>
      <c r="AL264" s="432"/>
      <c r="AM264" s="432"/>
      <c r="AN264" s="432"/>
      <c r="AO264" s="432"/>
    </row>
    <row r="265" spans="1:41" ht="15.75" customHeight="1">
      <c r="B265" s="378"/>
      <c r="C265" s="378"/>
      <c r="D265" s="379"/>
      <c r="E265" s="378"/>
      <c r="F265" s="378"/>
      <c r="G265" s="386"/>
      <c r="H265" s="378"/>
      <c r="I265" s="349"/>
      <c r="J265" s="417"/>
      <c r="K265" s="417"/>
      <c r="L265" s="417"/>
      <c r="M265" s="417"/>
      <c r="N265" s="417"/>
      <c r="O265" s="417"/>
      <c r="P265" s="417"/>
      <c r="Q265" s="383">
        <f t="shared" si="34"/>
        <v>0</v>
      </c>
      <c r="R265" s="383"/>
      <c r="S265" s="432"/>
      <c r="U265" s="432"/>
      <c r="V265" s="432"/>
      <c r="W265" s="432"/>
      <c r="X265" s="432"/>
      <c r="Y265" s="432"/>
      <c r="Z265" s="432"/>
      <c r="AA265" s="432"/>
      <c r="AB265" s="432"/>
      <c r="AC265" s="432"/>
      <c r="AD265" s="432"/>
      <c r="AE265" s="432"/>
      <c r="AF265" s="432"/>
      <c r="AG265" s="432"/>
      <c r="AH265" s="432"/>
      <c r="AI265" s="432"/>
      <c r="AJ265" s="432"/>
      <c r="AK265" s="432"/>
      <c r="AL265" s="432"/>
      <c r="AM265" s="432"/>
      <c r="AN265" s="432"/>
      <c r="AO265" s="432"/>
    </row>
    <row r="266" spans="1:41" ht="15.75" customHeight="1">
      <c r="A266" s="349" t="s">
        <v>893</v>
      </c>
      <c r="B266" s="378">
        <f>('Pivot Table for Data Exchange'!$K$295)*100</f>
        <v>0</v>
      </c>
      <c r="C266" s="378">
        <f>('Pivot Table for Data Exchange'!$K$298)*100</f>
        <v>0</v>
      </c>
      <c r="D266" s="379">
        <f>SUM(E266:G266)</f>
        <v>0</v>
      </c>
      <c r="E266" s="378">
        <f>('Pivot Table for Data Exchange'!$K$301)*100</f>
        <v>0</v>
      </c>
      <c r="F266" s="378">
        <f>('Pivot Table for Data Exchange'!$K$304)*100</f>
        <v>0</v>
      </c>
      <c r="G266" s="386">
        <f>('Pivot Table for Data Exchange'!$K$307)*100</f>
        <v>0</v>
      </c>
      <c r="H266" s="378">
        <f>('Pivot Table for Data Exchange'!$K$310)*100</f>
        <v>0</v>
      </c>
      <c r="I266" s="349"/>
      <c r="J266" s="417"/>
      <c r="K266" s="417"/>
      <c r="L266" s="417"/>
      <c r="M266" s="417"/>
      <c r="N266" s="417"/>
      <c r="O266" s="417"/>
      <c r="P266" s="417"/>
      <c r="Q266" s="383">
        <f t="shared" si="34"/>
        <v>0</v>
      </c>
      <c r="R266" s="383"/>
      <c r="S266" s="432"/>
      <c r="T266" s="432"/>
      <c r="U266" s="432"/>
      <c r="V266" s="432"/>
      <c r="W266" s="432"/>
      <c r="X266" s="432"/>
      <c r="Y266" s="432"/>
      <c r="Z266" s="432"/>
      <c r="AA266" s="432"/>
      <c r="AB266" s="432"/>
      <c r="AC266" s="432"/>
      <c r="AD266" s="432"/>
      <c r="AE266" s="432"/>
      <c r="AF266" s="432"/>
      <c r="AG266" s="432"/>
      <c r="AH266" s="432"/>
      <c r="AI266" s="432"/>
      <c r="AJ266" s="432"/>
      <c r="AK266" s="432"/>
      <c r="AL266" s="432"/>
      <c r="AM266" s="432"/>
      <c r="AN266" s="432"/>
      <c r="AO266" s="432"/>
    </row>
    <row r="267" spans="1:41" ht="15.75" customHeight="1">
      <c r="A267" s="349" t="s">
        <v>894</v>
      </c>
      <c r="B267" s="378">
        <f>('Pivot Table for Data Exchange'!$K$331)*100</f>
        <v>0</v>
      </c>
      <c r="C267" s="378">
        <f>('Pivot Table for Data Exchange'!$K$334)*100</f>
        <v>0</v>
      </c>
      <c r="D267" s="379">
        <f>SUM(E267:G267)</f>
        <v>0</v>
      </c>
      <c r="E267" s="378">
        <f>('Pivot Table for Data Exchange'!$K$337)*100</f>
        <v>0</v>
      </c>
      <c r="F267" s="378">
        <f>('Pivot Table for Data Exchange'!$K$340)*100</f>
        <v>0</v>
      </c>
      <c r="G267" s="386">
        <f>('Pivot Table for Data Exchange'!$K$343)*100</f>
        <v>0</v>
      </c>
      <c r="H267" s="378">
        <f>('Pivot Table for Data Exchange'!$K$346)*100</f>
        <v>0</v>
      </c>
      <c r="I267" s="349"/>
      <c r="J267" s="417"/>
      <c r="K267" s="417"/>
      <c r="L267" s="417"/>
      <c r="M267" s="417"/>
      <c r="N267" s="417"/>
      <c r="O267" s="417"/>
      <c r="P267" s="417"/>
      <c r="Q267" s="383">
        <f t="shared" si="34"/>
        <v>0</v>
      </c>
      <c r="R267" s="383"/>
      <c r="S267" s="432"/>
      <c r="T267" s="432"/>
      <c r="U267" s="432"/>
      <c r="V267" s="432"/>
      <c r="W267" s="432"/>
      <c r="X267" s="432"/>
      <c r="Y267" s="432"/>
      <c r="Z267" s="432"/>
      <c r="AA267" s="432"/>
      <c r="AB267" s="432"/>
      <c r="AC267" s="432"/>
      <c r="AD267" s="432"/>
      <c r="AE267" s="432"/>
      <c r="AF267" s="432"/>
      <c r="AG267" s="432"/>
      <c r="AH267" s="432"/>
      <c r="AI267" s="432"/>
      <c r="AJ267" s="432"/>
      <c r="AK267" s="432"/>
      <c r="AL267" s="432"/>
      <c r="AM267" s="432"/>
      <c r="AN267" s="432"/>
      <c r="AO267" s="432"/>
    </row>
    <row r="268" spans="1:41" ht="15.75" customHeight="1">
      <c r="A268" s="349" t="s">
        <v>895</v>
      </c>
      <c r="B268" s="378">
        <f>('Pivot Table for Data Exchange'!$K$367)*100</f>
        <v>64.90327559008972</v>
      </c>
      <c r="C268" s="378">
        <f>('Pivot Table for Data Exchange'!$K$370)*100</f>
        <v>4.8838379151872708E-3</v>
      </c>
      <c r="D268" s="379">
        <f>SUM(E268:G268)</f>
        <v>35.091840571995093</v>
      </c>
      <c r="E268" s="378">
        <f>('Pivot Table for Data Exchange'!$K$373)*100</f>
        <v>33.706295755456466</v>
      </c>
      <c r="F268" s="378">
        <f>('Pivot Table for Data Exchange'!$K$376)*100</f>
        <v>0</v>
      </c>
      <c r="G268" s="386">
        <f>('Pivot Table for Data Exchange'!$K$379)*100</f>
        <v>1.3855448165386288</v>
      </c>
      <c r="H268" s="378">
        <f>('Pivot Table for Data Exchange'!$K$382)*100</f>
        <v>0</v>
      </c>
      <c r="I268" s="349"/>
      <c r="J268" s="417"/>
      <c r="K268" s="417"/>
      <c r="L268" s="417"/>
      <c r="M268" s="417"/>
      <c r="N268" s="417"/>
      <c r="O268" s="417"/>
      <c r="P268" s="417"/>
      <c r="Q268" s="383">
        <f t="shared" si="34"/>
        <v>100</v>
      </c>
      <c r="R268" s="383"/>
      <c r="S268" s="432"/>
      <c r="T268" s="436"/>
      <c r="U268" s="432"/>
      <c r="V268" s="432"/>
      <c r="W268" s="432"/>
      <c r="X268" s="432"/>
      <c r="Y268" s="432"/>
      <c r="Z268" s="432"/>
      <c r="AA268" s="432"/>
      <c r="AB268" s="432"/>
      <c r="AC268" s="432"/>
      <c r="AD268" s="432"/>
      <c r="AE268" s="432"/>
      <c r="AF268" s="432"/>
      <c r="AG268" s="432"/>
      <c r="AH268" s="432"/>
      <c r="AI268" s="432"/>
      <c r="AJ268" s="432"/>
      <c r="AK268" s="432"/>
      <c r="AL268" s="432"/>
      <c r="AM268" s="432"/>
      <c r="AN268" s="432"/>
      <c r="AO268" s="432"/>
    </row>
    <row r="269" spans="1:41" ht="15.75" customHeight="1">
      <c r="A269" s="349" t="s">
        <v>896</v>
      </c>
      <c r="B269" s="378">
        <f>('Pivot Table for Data Exchange'!$K$403)*100</f>
        <v>0</v>
      </c>
      <c r="C269" s="378">
        <f>('Pivot Table for Data Exchange'!$K$406)*100</f>
        <v>0</v>
      </c>
      <c r="D269" s="379">
        <f>SUM(E269:G269)</f>
        <v>0</v>
      </c>
      <c r="E269" s="378">
        <f>('Pivot Table for Data Exchange'!$K$409)*100</f>
        <v>0</v>
      </c>
      <c r="F269" s="378">
        <f>('Pivot Table for Data Exchange'!$K$412)*100</f>
        <v>0</v>
      </c>
      <c r="G269" s="386">
        <f>('Pivot Table for Data Exchange'!$K$415)*100</f>
        <v>0</v>
      </c>
      <c r="H269" s="378">
        <f>('Pivot Table for Data Exchange'!$K$418)*100</f>
        <v>0</v>
      </c>
      <c r="I269" s="349"/>
      <c r="J269" s="417"/>
      <c r="K269" s="417"/>
      <c r="L269" s="417"/>
      <c r="M269" s="417"/>
      <c r="N269" s="417"/>
      <c r="O269" s="417"/>
      <c r="P269" s="417"/>
      <c r="Q269" s="383">
        <f t="shared" si="34"/>
        <v>0</v>
      </c>
      <c r="R269" s="383"/>
      <c r="S269" s="432"/>
      <c r="T269" s="432"/>
      <c r="U269" s="432"/>
      <c r="V269" s="432"/>
      <c r="W269" s="432"/>
      <c r="X269" s="432"/>
      <c r="Y269" s="432"/>
      <c r="Z269" s="432"/>
      <c r="AA269" s="432"/>
      <c r="AB269" s="432"/>
      <c r="AC269" s="432"/>
      <c r="AD269" s="432"/>
      <c r="AE269" s="432"/>
      <c r="AF269" s="432"/>
      <c r="AG269" s="432"/>
      <c r="AH269" s="432"/>
      <c r="AI269" s="432"/>
      <c r="AJ269" s="432"/>
      <c r="AK269" s="432"/>
      <c r="AL269" s="432"/>
      <c r="AM269" s="432"/>
      <c r="AN269" s="432"/>
      <c r="AO269" s="432"/>
    </row>
    <row r="270" spans="1:41" ht="15.75" customHeight="1">
      <c r="B270" s="378"/>
      <c r="C270" s="378"/>
      <c r="D270" s="379"/>
      <c r="E270" s="378"/>
      <c r="F270" s="378"/>
      <c r="G270" s="386"/>
      <c r="H270" s="378"/>
      <c r="I270" s="349"/>
      <c r="J270" s="417"/>
      <c r="K270" s="417"/>
      <c r="L270" s="417"/>
      <c r="M270" s="417"/>
      <c r="N270" s="417"/>
      <c r="O270" s="417"/>
      <c r="P270" s="417"/>
      <c r="Q270" s="383">
        <f t="shared" si="34"/>
        <v>0</v>
      </c>
      <c r="R270" s="383"/>
      <c r="S270" s="432"/>
      <c r="T270" s="432"/>
      <c r="U270" s="432"/>
      <c r="V270" s="432"/>
      <c r="W270" s="432"/>
      <c r="X270" s="432"/>
      <c r="Y270" s="432"/>
      <c r="Z270" s="432"/>
      <c r="AA270" s="432"/>
      <c r="AB270" s="432"/>
      <c r="AC270" s="432"/>
      <c r="AD270" s="432"/>
      <c r="AE270" s="432"/>
      <c r="AF270" s="432"/>
      <c r="AG270" s="432"/>
      <c r="AH270" s="432"/>
      <c r="AI270" s="432"/>
      <c r="AJ270" s="432"/>
      <c r="AK270" s="432"/>
      <c r="AL270" s="432"/>
      <c r="AM270" s="432"/>
      <c r="AN270" s="432"/>
      <c r="AO270" s="432"/>
    </row>
    <row r="271" spans="1:41" ht="15.75" customHeight="1">
      <c r="A271" s="349" t="s">
        <v>897</v>
      </c>
      <c r="B271" s="378">
        <f>('Pivot Table for Data Exchange'!$K$439)*100</f>
        <v>0</v>
      </c>
      <c r="C271" s="378">
        <f>('Pivot Table for Data Exchange'!$K$442)*100</f>
        <v>0</v>
      </c>
      <c r="D271" s="379">
        <f>SUM(E271:G271)</f>
        <v>0</v>
      </c>
      <c r="E271" s="378">
        <f>('Pivot Table for Data Exchange'!$K$445)*100</f>
        <v>0</v>
      </c>
      <c r="F271" s="378">
        <f>('Pivot Table for Data Exchange'!$K$448)*100</f>
        <v>0</v>
      </c>
      <c r="G271" s="386">
        <f>('Pivot Table for Data Exchange'!$K$451)*100</f>
        <v>0</v>
      </c>
      <c r="H271" s="378">
        <f>('Pivot Table for Data Exchange'!$K$454)*100</f>
        <v>0</v>
      </c>
      <c r="I271" s="349"/>
      <c r="J271" s="417"/>
      <c r="K271" s="417"/>
      <c r="L271" s="417"/>
      <c r="M271" s="417"/>
      <c r="N271" s="417"/>
      <c r="O271" s="417"/>
      <c r="P271" s="417"/>
      <c r="Q271" s="383">
        <f t="shared" si="34"/>
        <v>0</v>
      </c>
      <c r="R271" s="383"/>
      <c r="S271" s="432"/>
      <c r="T271" s="432"/>
      <c r="U271" s="432"/>
      <c r="V271" s="432"/>
      <c r="W271" s="432"/>
      <c r="X271" s="432"/>
      <c r="Y271" s="432"/>
      <c r="Z271" s="432"/>
      <c r="AA271" s="432"/>
      <c r="AB271" s="432"/>
      <c r="AC271" s="432"/>
      <c r="AD271" s="432"/>
      <c r="AE271" s="432"/>
      <c r="AF271" s="432"/>
      <c r="AG271" s="432"/>
      <c r="AH271" s="432"/>
      <c r="AI271" s="432"/>
      <c r="AJ271" s="432"/>
      <c r="AK271" s="432"/>
      <c r="AL271" s="432"/>
      <c r="AM271" s="432"/>
      <c r="AN271" s="432"/>
      <c r="AO271" s="432"/>
    </row>
    <row r="272" spans="1:41" ht="15.75" customHeight="1">
      <c r="A272" s="349" t="s">
        <v>898</v>
      </c>
      <c r="B272" s="378">
        <f>('Pivot Table for Data Exchange'!$K$475)*100</f>
        <v>73.658789583980607</v>
      </c>
      <c r="C272" s="378">
        <f>('Pivot Table for Data Exchange'!$K$478)*100</f>
        <v>1.8015252435104119</v>
      </c>
      <c r="D272" s="379">
        <f>SUM(E272:G272)</f>
        <v>24.539685172508978</v>
      </c>
      <c r="E272" s="378">
        <f>('Pivot Table for Data Exchange'!$K$481)*100</f>
        <v>23.426636183252029</v>
      </c>
      <c r="F272" s="378">
        <f>('Pivot Table for Data Exchange'!$K$484)*100</f>
        <v>6.300510848885528E-2</v>
      </c>
      <c r="G272" s="385">
        <f>('Pivot Table for Data Exchange'!$K$487)*100</f>
        <v>1.050043880768093</v>
      </c>
      <c r="H272" s="378">
        <f>('Pivot Table for Data Exchange'!$K$490)*100</f>
        <v>0</v>
      </c>
      <c r="I272" s="349"/>
      <c r="J272" s="417"/>
      <c r="K272" s="417"/>
      <c r="L272" s="417"/>
      <c r="M272" s="417"/>
      <c r="N272" s="417"/>
      <c r="O272" s="417"/>
      <c r="P272" s="417"/>
      <c r="Q272" s="383">
        <f t="shared" si="34"/>
        <v>100</v>
      </c>
      <c r="R272" s="383"/>
      <c r="S272" s="432"/>
      <c r="T272" s="432"/>
      <c r="U272" s="432"/>
      <c r="V272" s="432"/>
      <c r="W272" s="432"/>
      <c r="X272" s="432"/>
      <c r="Y272" s="432"/>
      <c r="Z272" s="432"/>
      <c r="AA272" s="432"/>
      <c r="AB272" s="432"/>
      <c r="AC272" s="432"/>
      <c r="AD272" s="432"/>
      <c r="AE272" s="432"/>
      <c r="AF272" s="432"/>
      <c r="AG272" s="432"/>
      <c r="AH272" s="432"/>
      <c r="AI272" s="432"/>
      <c r="AJ272" s="432"/>
      <c r="AK272" s="432"/>
      <c r="AL272" s="432"/>
      <c r="AM272" s="432"/>
      <c r="AN272" s="432"/>
      <c r="AO272" s="432"/>
    </row>
    <row r="273" spans="1:41" ht="15.75" customHeight="1">
      <c r="A273" s="349" t="s">
        <v>899</v>
      </c>
      <c r="B273" s="378">
        <f>('Pivot Table for Data Exchange'!$K$511)*100</f>
        <v>0</v>
      </c>
      <c r="C273" s="378">
        <f>('Pivot Table for Data Exchange'!$K$514)*100</f>
        <v>0</v>
      </c>
      <c r="D273" s="379">
        <f>SUM(E273:G273)</f>
        <v>0</v>
      </c>
      <c r="E273" s="378">
        <f>('Pivot Table for Data Exchange'!$K$517)*100</f>
        <v>0</v>
      </c>
      <c r="F273" s="378">
        <f>('Pivot Table for Data Exchange'!$K$520)*100</f>
        <v>0</v>
      </c>
      <c r="G273" s="386">
        <f>('Pivot Table for Data Exchange'!$K$523)*100</f>
        <v>0</v>
      </c>
      <c r="H273" s="378">
        <f>('Pivot Table for Data Exchange'!$K$526)*100</f>
        <v>0</v>
      </c>
      <c r="I273" s="349"/>
      <c r="J273" s="417"/>
      <c r="K273" s="417"/>
      <c r="L273" s="417"/>
      <c r="M273" s="417"/>
      <c r="N273" s="417"/>
      <c r="O273" s="417"/>
      <c r="P273" s="417"/>
      <c r="Q273" s="383">
        <f t="shared" si="34"/>
        <v>0</v>
      </c>
      <c r="R273" s="383"/>
      <c r="S273" s="432"/>
      <c r="T273" s="432"/>
      <c r="U273" s="432"/>
      <c r="V273" s="432"/>
      <c r="W273" s="432"/>
      <c r="X273" s="432"/>
      <c r="Y273" s="432"/>
      <c r="Z273" s="432"/>
      <c r="AA273" s="432"/>
      <c r="AB273" s="432"/>
      <c r="AC273" s="432"/>
      <c r="AD273" s="432"/>
      <c r="AE273" s="432"/>
      <c r="AF273" s="432"/>
      <c r="AG273" s="432"/>
      <c r="AH273" s="432"/>
      <c r="AI273" s="432"/>
      <c r="AJ273" s="432"/>
      <c r="AK273" s="432"/>
      <c r="AL273" s="432"/>
      <c r="AM273" s="432"/>
      <c r="AN273" s="432"/>
      <c r="AO273" s="432"/>
    </row>
    <row r="274" spans="1:41" ht="15.75" customHeight="1">
      <c r="A274" s="355" t="s">
        <v>900</v>
      </c>
      <c r="B274" s="391">
        <f>('Pivot Table for Data Exchange'!$K$547)*100</f>
        <v>68.210648757791233</v>
      </c>
      <c r="C274" s="391">
        <f>('Pivot Table for Data Exchange'!$K$550)*100</f>
        <v>6.5128171363357037</v>
      </c>
      <c r="D274" s="392">
        <f>SUM(E274:G274)</f>
        <v>25.276534105873058</v>
      </c>
      <c r="E274" s="391">
        <f>('Pivot Table for Data Exchange'!$K$553)*100</f>
        <v>22.448643666052146</v>
      </c>
      <c r="F274" s="391">
        <f>('Pivot Table for Data Exchange'!$K$556)*100</f>
        <v>0</v>
      </c>
      <c r="G274" s="393">
        <f>('Pivot Table for Data Exchange'!$K$559)*100</f>
        <v>2.8278904398209113</v>
      </c>
      <c r="H274" s="391">
        <f>('Pivot Table for Data Exchange'!$K$562)*100</f>
        <v>0</v>
      </c>
      <c r="I274" s="349"/>
      <c r="J274" s="417"/>
      <c r="K274" s="417"/>
      <c r="L274" s="417"/>
      <c r="M274" s="417"/>
      <c r="N274" s="417"/>
      <c r="O274" s="417"/>
      <c r="P274" s="417"/>
      <c r="Q274" s="383">
        <f t="shared" si="34"/>
        <v>99.999999999999986</v>
      </c>
      <c r="R274" s="383"/>
      <c r="S274" s="432"/>
      <c r="T274" s="432"/>
      <c r="U274" s="432"/>
      <c r="V274" s="432"/>
      <c r="W274" s="432"/>
      <c r="X274" s="432"/>
      <c r="Y274" s="432"/>
      <c r="Z274" s="432"/>
      <c r="AA274" s="432"/>
      <c r="AB274" s="432"/>
      <c r="AC274" s="432"/>
      <c r="AD274" s="432"/>
      <c r="AE274" s="432"/>
      <c r="AF274" s="432"/>
      <c r="AG274" s="432"/>
      <c r="AH274" s="432"/>
      <c r="AI274" s="432"/>
      <c r="AJ274" s="432"/>
      <c r="AK274" s="432"/>
      <c r="AL274" s="432"/>
      <c r="AM274" s="432"/>
      <c r="AN274" s="432"/>
      <c r="AO274" s="432"/>
    </row>
    <row r="275" spans="1:41" s="422" customFormat="1" ht="12.75" customHeight="1">
      <c r="A275" s="397" t="s">
        <v>926</v>
      </c>
      <c r="B275" s="398"/>
      <c r="C275" s="398"/>
      <c r="D275" s="399"/>
      <c r="E275" s="398"/>
      <c r="F275" s="399"/>
      <c r="G275" s="399"/>
      <c r="H275" s="398"/>
      <c r="I275" s="407"/>
      <c r="J275" s="398"/>
      <c r="K275" s="398"/>
      <c r="L275" s="399"/>
      <c r="M275" s="398"/>
      <c r="N275" s="399"/>
      <c r="O275" s="399"/>
      <c r="P275" s="398"/>
      <c r="Q275" s="383">
        <f t="shared" si="34"/>
        <v>0</v>
      </c>
      <c r="R275" s="418"/>
      <c r="S275" s="435"/>
      <c r="T275" s="435"/>
      <c r="U275" s="435"/>
      <c r="V275" s="435"/>
      <c r="W275" s="435"/>
      <c r="X275" s="435"/>
      <c r="Y275" s="435"/>
      <c r="Z275" s="435"/>
      <c r="AA275" s="435"/>
      <c r="AB275" s="435"/>
      <c r="AC275" s="435"/>
      <c r="AD275" s="435"/>
      <c r="AE275" s="435"/>
      <c r="AF275" s="435"/>
      <c r="AG275" s="435"/>
      <c r="AH275" s="435"/>
      <c r="AI275" s="435"/>
      <c r="AJ275" s="435"/>
      <c r="AK275" s="435"/>
      <c r="AL275" s="435"/>
      <c r="AM275" s="435"/>
      <c r="AN275" s="435"/>
      <c r="AO275" s="435"/>
    </row>
    <row r="276" spans="1:41" s="422" customFormat="1" ht="27" customHeight="1">
      <c r="A276" s="501" t="s">
        <v>943</v>
      </c>
      <c r="B276" s="502"/>
      <c r="C276" s="502"/>
      <c r="D276" s="502"/>
      <c r="E276" s="502"/>
      <c r="F276" s="502"/>
      <c r="G276" s="502"/>
      <c r="H276" s="502"/>
      <c r="I276" s="407"/>
      <c r="J276" s="396"/>
      <c r="K276" s="396"/>
      <c r="L276" s="396"/>
      <c r="M276" s="396"/>
      <c r="N276" s="396"/>
      <c r="O276" s="396"/>
      <c r="P276" s="409"/>
      <c r="Q276" s="383">
        <f t="shared" si="34"/>
        <v>0</v>
      </c>
      <c r="R276" s="419"/>
    </row>
    <row r="277" spans="1:41" s="422" customFormat="1" ht="13.5" customHeight="1">
      <c r="A277" s="349"/>
      <c r="B277" s="420"/>
      <c r="C277" s="420"/>
      <c r="D277" s="421"/>
      <c r="E277" s="420"/>
      <c r="F277" s="421"/>
      <c r="G277" s="421"/>
      <c r="H277" s="420"/>
      <c r="I277" s="407"/>
      <c r="J277" s="396"/>
      <c r="K277" s="396"/>
      <c r="L277" s="396"/>
      <c r="M277" s="396"/>
      <c r="N277" s="396"/>
      <c r="O277" s="396"/>
      <c r="P277" s="396"/>
      <c r="Q277" s="383">
        <f t="shared" si="34"/>
        <v>0</v>
      </c>
      <c r="R277" s="419"/>
    </row>
    <row r="278" spans="1:41" s="422" customFormat="1">
      <c r="A278" s="396"/>
      <c r="B278" s="396"/>
      <c r="C278" s="396"/>
      <c r="D278" s="396"/>
      <c r="E278" s="396"/>
      <c r="F278" s="396"/>
      <c r="G278" s="396"/>
      <c r="H278" s="402" t="s">
        <v>1007</v>
      </c>
      <c r="I278" s="423"/>
      <c r="J278" s="396"/>
      <c r="K278" s="396"/>
      <c r="L278" s="396"/>
      <c r="M278" s="396"/>
      <c r="N278" s="396"/>
      <c r="O278" s="396"/>
      <c r="P278" s="396"/>
      <c r="Q278" s="383">
        <f t="shared" si="34"/>
        <v>0</v>
      </c>
      <c r="R278" s="419"/>
    </row>
    <row r="279" spans="1:41" ht="18">
      <c r="A279" s="344" t="s">
        <v>944</v>
      </c>
      <c r="B279" s="345"/>
      <c r="C279" s="345"/>
      <c r="D279" s="345"/>
      <c r="E279" s="345"/>
      <c r="F279" s="345"/>
      <c r="G279" s="345"/>
      <c r="H279" s="345"/>
      <c r="Q279" s="383">
        <f t="shared" si="34"/>
        <v>0</v>
      </c>
    </row>
    <row r="280" spans="1:41">
      <c r="A280" s="350"/>
      <c r="B280" s="346"/>
      <c r="C280" s="346"/>
      <c r="D280" s="346"/>
      <c r="E280" s="346"/>
      <c r="F280" s="346"/>
      <c r="G280" s="346"/>
      <c r="H280" s="346"/>
      <c r="Q280" s="383">
        <f t="shared" si="34"/>
        <v>0</v>
      </c>
    </row>
    <row r="281" spans="1:41" ht="15.75">
      <c r="A281" s="352" t="s">
        <v>906</v>
      </c>
      <c r="B281" s="346"/>
      <c r="C281" s="346"/>
      <c r="D281" s="346"/>
      <c r="E281" s="346"/>
      <c r="F281" s="346"/>
      <c r="G281" s="346"/>
      <c r="H281" s="346"/>
      <c r="Q281" s="383">
        <f t="shared" si="34"/>
        <v>0</v>
      </c>
    </row>
    <row r="282" spans="1:41" ht="15.75">
      <c r="A282" s="352" t="s">
        <v>975</v>
      </c>
      <c r="B282" s="346"/>
      <c r="C282" s="346"/>
      <c r="D282" s="346"/>
      <c r="E282" s="346"/>
      <c r="F282" s="346"/>
      <c r="G282" s="346"/>
      <c r="H282" s="346"/>
      <c r="Q282" s="383">
        <f t="shared" ref="Q282:Q346" si="39">SUM(B282,C282,D282,H282)</f>
        <v>0</v>
      </c>
    </row>
    <row r="283" spans="1:41">
      <c r="A283" s="355"/>
      <c r="B283" s="356"/>
      <c r="C283" s="356"/>
      <c r="D283" s="356"/>
      <c r="E283" s="356"/>
      <c r="F283" s="356"/>
      <c r="G283" s="356"/>
      <c r="H283" s="356"/>
      <c r="Q283" s="383">
        <f t="shared" si="39"/>
        <v>0</v>
      </c>
    </row>
    <row r="284" spans="1:41">
      <c r="A284" s="360"/>
      <c r="B284" s="361" t="s">
        <v>908</v>
      </c>
      <c r="C284" s="361"/>
      <c r="D284" s="361"/>
      <c r="E284" s="361"/>
      <c r="F284" s="361"/>
      <c r="G284" s="361"/>
      <c r="H284" s="362"/>
      <c r="Q284" s="383">
        <f t="shared" si="39"/>
        <v>0</v>
      </c>
    </row>
    <row r="285" spans="1:41">
      <c r="A285" s="360"/>
      <c r="B285" s="361" t="s">
        <v>909</v>
      </c>
      <c r="C285" s="361"/>
      <c r="D285" s="506" t="s">
        <v>910</v>
      </c>
      <c r="E285" s="504"/>
      <c r="F285" s="504"/>
      <c r="G285" s="504"/>
      <c r="H285" s="368" t="s">
        <v>800</v>
      </c>
      <c r="Q285" s="383">
        <f t="shared" si="39"/>
        <v>0</v>
      </c>
    </row>
    <row r="286" spans="1:41" ht="36">
      <c r="A286" s="360"/>
      <c r="B286" s="369" t="s">
        <v>911</v>
      </c>
      <c r="C286" s="370" t="s">
        <v>912</v>
      </c>
      <c r="D286" s="371" t="s">
        <v>913</v>
      </c>
      <c r="E286" s="372" t="s">
        <v>10</v>
      </c>
      <c r="F286" s="369" t="s">
        <v>914</v>
      </c>
      <c r="G286" s="373" t="s">
        <v>924</v>
      </c>
      <c r="H286" s="374" t="s">
        <v>916</v>
      </c>
      <c r="Q286" s="383">
        <f t="shared" si="39"/>
        <v>0</v>
      </c>
    </row>
    <row r="287" spans="1:41" ht="15.75" customHeight="1">
      <c r="A287" s="404" t="s">
        <v>885</v>
      </c>
      <c r="B287" s="431">
        <f>('Pivot Table for Data Exchange'!$L$7)*100</f>
        <v>59.337492039126673</v>
      </c>
      <c r="C287" s="378">
        <f>('Pivot Table for Data Exchange'!$L$10)*100</f>
        <v>6.5251944630424958</v>
      </c>
      <c r="D287" s="379">
        <f>SUM(E287:G287)</f>
        <v>34.137313497830831</v>
      </c>
      <c r="E287" s="378">
        <f>('Pivot Table for Data Exchange'!$L$13)*100</f>
        <v>33.703479922269217</v>
      </c>
      <c r="F287" s="378">
        <f>('Pivot Table for Data Exchange'!$L$16)*100</f>
        <v>0.43383357556161578</v>
      </c>
      <c r="G287" s="382">
        <f>('Pivot Table for Data Exchange'!$L$19)*100</f>
        <v>0</v>
      </c>
      <c r="H287" s="378">
        <f>('Pivot Table for Data Exchange'!$L$22)*100</f>
        <v>0</v>
      </c>
      <c r="I287" s="349"/>
      <c r="J287" s="417"/>
      <c r="K287" s="417"/>
      <c r="L287" s="417"/>
      <c r="M287" s="417"/>
      <c r="N287" s="417"/>
      <c r="O287" s="417"/>
      <c r="P287" s="417"/>
      <c r="Q287" s="383">
        <f t="shared" si="39"/>
        <v>100</v>
      </c>
      <c r="R287" s="383"/>
      <c r="S287" s="432"/>
      <c r="T287" s="432"/>
      <c r="U287" s="432"/>
      <c r="V287" s="432"/>
      <c r="W287" s="432"/>
      <c r="X287" s="432"/>
      <c r="Y287" s="432"/>
      <c r="Z287" s="432"/>
      <c r="AA287" s="432"/>
      <c r="AB287" s="432"/>
      <c r="AC287" s="432"/>
      <c r="AD287" s="432"/>
      <c r="AE287" s="432"/>
      <c r="AF287" s="432"/>
      <c r="AG287" s="432"/>
      <c r="AH287" s="432"/>
      <c r="AI287" s="432"/>
      <c r="AJ287" s="432"/>
      <c r="AK287" s="432"/>
      <c r="AL287" s="432"/>
      <c r="AM287" s="432"/>
      <c r="AN287" s="432"/>
      <c r="AO287" s="432"/>
    </row>
    <row r="288" spans="1:41" ht="15.75" customHeight="1">
      <c r="A288" s="349" t="s">
        <v>886</v>
      </c>
      <c r="B288" s="378">
        <f>('Pivot Table for Data Exchange'!$L$43)*100</f>
        <v>62.951100422678905</v>
      </c>
      <c r="C288" s="378">
        <f>('Pivot Table for Data Exchange'!$L$46)*100</f>
        <v>6.4097799154642185</v>
      </c>
      <c r="D288" s="379">
        <f t="shared" ref="D288:D290" si="40">SUM(E288:G288)</f>
        <v>30.639119661856874</v>
      </c>
      <c r="E288" s="378">
        <f>('Pivot Table for Data Exchange'!$L$49)*100</f>
        <v>30.639119661856874</v>
      </c>
      <c r="F288" s="390">
        <f>('Pivot Table for Data Exchange'!$L$52)*100</f>
        <v>0</v>
      </c>
      <c r="G288" s="386">
        <f>('Pivot Table for Data Exchange'!$L$55)*100</f>
        <v>0</v>
      </c>
      <c r="H288" s="378">
        <f>('Pivot Table for Data Exchange'!$L$58)*100</f>
        <v>0</v>
      </c>
      <c r="I288" s="349"/>
      <c r="J288" s="417"/>
      <c r="K288" s="417"/>
      <c r="L288" s="417"/>
      <c r="M288" s="417"/>
      <c r="N288" s="417"/>
      <c r="O288" s="417"/>
      <c r="P288" s="417"/>
      <c r="Q288" s="383">
        <f t="shared" si="39"/>
        <v>100</v>
      </c>
      <c r="R288" s="383"/>
      <c r="S288" s="432"/>
      <c r="T288" s="432"/>
      <c r="U288" s="432"/>
      <c r="V288" s="432"/>
      <c r="W288" s="432"/>
      <c r="X288" s="432"/>
      <c r="Y288" s="432"/>
      <c r="Z288" s="432"/>
      <c r="AA288" s="432"/>
      <c r="AB288" s="432"/>
      <c r="AC288" s="432"/>
      <c r="AD288" s="432"/>
      <c r="AE288" s="432"/>
      <c r="AF288" s="432"/>
      <c r="AG288" s="432"/>
      <c r="AH288" s="432"/>
      <c r="AI288" s="432"/>
      <c r="AJ288" s="432"/>
      <c r="AK288" s="432"/>
      <c r="AL288" s="432"/>
      <c r="AM288" s="432"/>
      <c r="AN288" s="432"/>
      <c r="AO288" s="432"/>
    </row>
    <row r="289" spans="1:41" ht="15.75" customHeight="1">
      <c r="A289" s="349" t="s">
        <v>887</v>
      </c>
      <c r="B289" s="378">
        <f>('Pivot Table for Data Exchange'!$L$79)*100</f>
        <v>0</v>
      </c>
      <c r="C289" s="378">
        <f>('Pivot Table for Data Exchange'!$L$82)*100</f>
        <v>0</v>
      </c>
      <c r="D289" s="379">
        <f t="shared" si="40"/>
        <v>0</v>
      </c>
      <c r="E289" s="378">
        <f>('Pivot Table for Data Exchange'!$L$85)*100</f>
        <v>0</v>
      </c>
      <c r="F289" s="378">
        <f>('Pivot Table for Data Exchange'!$L$88)*100</f>
        <v>0</v>
      </c>
      <c r="G289" s="385">
        <f>('Pivot Table for Data Exchange'!$L$91)*100</f>
        <v>0</v>
      </c>
      <c r="H289" s="378">
        <f>('Pivot Table for Data Exchange'!$L$94)*100</f>
        <v>0</v>
      </c>
      <c r="I289" s="349"/>
      <c r="J289" s="417"/>
      <c r="K289" s="417"/>
      <c r="L289" s="417"/>
      <c r="M289" s="417"/>
      <c r="N289" s="417"/>
      <c r="O289" s="417"/>
      <c r="P289" s="417"/>
      <c r="Q289" s="383">
        <f t="shared" si="39"/>
        <v>0</v>
      </c>
      <c r="R289" s="383"/>
      <c r="S289" s="432"/>
      <c r="T289" s="436"/>
      <c r="U289" s="432"/>
      <c r="V289" s="432"/>
      <c r="W289" s="432"/>
      <c r="X289" s="432"/>
      <c r="Y289" s="432"/>
      <c r="Z289" s="432"/>
      <c r="AA289" s="432"/>
      <c r="AB289" s="432"/>
      <c r="AC289" s="432"/>
      <c r="AD289" s="432"/>
      <c r="AE289" s="432"/>
      <c r="AF289" s="432"/>
      <c r="AG289" s="432"/>
      <c r="AH289" s="432"/>
      <c r="AI289" s="432"/>
      <c r="AJ289" s="432"/>
      <c r="AK289" s="432"/>
      <c r="AL289" s="432"/>
      <c r="AM289" s="432"/>
      <c r="AN289" s="432"/>
      <c r="AO289" s="432"/>
    </row>
    <row r="290" spans="1:41" ht="15.75" customHeight="1">
      <c r="A290" s="349" t="s">
        <v>925</v>
      </c>
      <c r="B290" s="378">
        <f>('Pivot Table for Data Exchange'!$L$115)*100</f>
        <v>69.397530513766682</v>
      </c>
      <c r="C290" s="378">
        <f>('Pivot Table for Data Exchange'!$L$118)*100</f>
        <v>3.9907634003574963</v>
      </c>
      <c r="D290" s="379">
        <f t="shared" si="40"/>
        <v>26.611706085875827</v>
      </c>
      <c r="E290" s="378">
        <f>('Pivot Table for Data Exchange'!$L$121)*100</f>
        <v>26.53729162031745</v>
      </c>
      <c r="F290" s="378">
        <f>('Pivot Table for Data Exchange'!$L$124)*100</f>
        <v>0</v>
      </c>
      <c r="G290" s="386">
        <f>('Pivot Table for Data Exchange'!$L$127)*100</f>
        <v>7.4414465558376997E-2</v>
      </c>
      <c r="H290" s="390">
        <f>('Pivot Table for Data Exchange'!$L$130)*100</f>
        <v>0</v>
      </c>
      <c r="I290" s="349"/>
      <c r="J290" s="417"/>
      <c r="K290" s="417"/>
      <c r="L290" s="417"/>
      <c r="M290" s="417"/>
      <c r="N290" s="417"/>
      <c r="O290" s="417"/>
      <c r="P290" s="417"/>
      <c r="Q290" s="383">
        <f t="shared" si="39"/>
        <v>100</v>
      </c>
      <c r="R290" s="383"/>
      <c r="S290" s="432"/>
      <c r="U290" s="432"/>
      <c r="V290" s="432"/>
      <c r="W290" s="432"/>
      <c r="X290" s="432"/>
      <c r="Y290" s="432"/>
      <c r="Z290" s="432"/>
      <c r="AA290" s="432"/>
      <c r="AB290" s="432"/>
      <c r="AC290" s="432"/>
      <c r="AD290" s="432"/>
      <c r="AE290" s="432"/>
      <c r="AF290" s="432"/>
      <c r="AG290" s="432"/>
      <c r="AH290" s="432"/>
      <c r="AI290" s="432"/>
      <c r="AJ290" s="432"/>
      <c r="AK290" s="432"/>
      <c r="AL290" s="432"/>
      <c r="AM290" s="432"/>
      <c r="AN290" s="432"/>
      <c r="AO290" s="432"/>
    </row>
    <row r="291" spans="1:41" ht="15.75" customHeight="1">
      <c r="B291" s="378"/>
      <c r="C291" s="378"/>
      <c r="D291" s="379"/>
      <c r="E291" s="378"/>
      <c r="F291" s="378"/>
      <c r="G291" s="386"/>
      <c r="H291" s="378"/>
      <c r="I291" s="349"/>
      <c r="J291" s="417"/>
      <c r="K291" s="417"/>
      <c r="L291" s="417"/>
      <c r="M291" s="417"/>
      <c r="N291" s="417"/>
      <c r="O291" s="417"/>
      <c r="P291" s="417"/>
      <c r="Q291" s="383">
        <f t="shared" si="39"/>
        <v>0</v>
      </c>
      <c r="R291" s="383"/>
      <c r="S291" s="432"/>
      <c r="U291" s="432"/>
      <c r="V291" s="432"/>
      <c r="W291" s="432"/>
      <c r="X291" s="432"/>
      <c r="Y291" s="432"/>
      <c r="Z291" s="432"/>
      <c r="AA291" s="432"/>
      <c r="AB291" s="432"/>
      <c r="AC291" s="432"/>
      <c r="AD291" s="432"/>
      <c r="AE291" s="432"/>
      <c r="AF291" s="432"/>
      <c r="AG291" s="432"/>
      <c r="AH291" s="432"/>
      <c r="AI291" s="432"/>
      <c r="AJ291" s="432"/>
      <c r="AK291" s="432"/>
      <c r="AL291" s="432"/>
      <c r="AM291" s="432"/>
      <c r="AN291" s="432"/>
      <c r="AO291" s="432"/>
    </row>
    <row r="292" spans="1:41" ht="15.75" customHeight="1">
      <c r="A292" s="349" t="s">
        <v>889</v>
      </c>
      <c r="B292" s="378">
        <f>('Pivot Table for Data Exchange'!$L$151)*100</f>
        <v>0</v>
      </c>
      <c r="C292" s="378">
        <f>('Pivot Table for Data Exchange'!$L$154)*100</f>
        <v>0</v>
      </c>
      <c r="D292" s="379">
        <f t="shared" ref="D292:D293" si="41">SUM(E292:G292)</f>
        <v>0</v>
      </c>
      <c r="E292" s="378">
        <f>('Pivot Table for Data Exchange'!$L$157)*100</f>
        <v>0</v>
      </c>
      <c r="F292" s="378">
        <f>('Pivot Table for Data Exchange'!$L$160)*100</f>
        <v>0</v>
      </c>
      <c r="G292" s="386">
        <f>('Pivot Table for Data Exchange'!$L$163)*100</f>
        <v>0</v>
      </c>
      <c r="H292" s="378">
        <f>('Pivot Table for Data Exchange'!$L$166)*100</f>
        <v>0</v>
      </c>
      <c r="I292" s="349"/>
      <c r="J292" s="417"/>
      <c r="K292" s="417"/>
      <c r="L292" s="417"/>
      <c r="M292" s="417"/>
      <c r="N292" s="417"/>
      <c r="O292" s="417"/>
      <c r="P292" s="417"/>
      <c r="Q292" s="383">
        <f t="shared" si="39"/>
        <v>0</v>
      </c>
      <c r="R292" s="383"/>
      <c r="S292" s="432"/>
      <c r="T292" s="432"/>
      <c r="U292" s="432"/>
      <c r="V292" s="432"/>
      <c r="W292" s="432"/>
      <c r="X292" s="432"/>
      <c r="Y292" s="432"/>
      <c r="Z292" s="432"/>
      <c r="AA292" s="432"/>
      <c r="AB292" s="432"/>
      <c r="AC292" s="432"/>
      <c r="AD292" s="432"/>
      <c r="AE292" s="432"/>
      <c r="AF292" s="432"/>
      <c r="AG292" s="432"/>
      <c r="AH292" s="432"/>
      <c r="AI292" s="432"/>
      <c r="AJ292" s="432"/>
      <c r="AK292" s="432"/>
      <c r="AL292" s="432"/>
      <c r="AM292" s="432"/>
      <c r="AN292" s="432"/>
      <c r="AO292" s="432"/>
    </row>
    <row r="293" spans="1:41" ht="15.75" customHeight="1">
      <c r="A293" s="349" t="s">
        <v>890</v>
      </c>
      <c r="B293" s="378">
        <f>('Pivot Table for Data Exchange'!$L$187)*100</f>
        <v>62.058071114604182</v>
      </c>
      <c r="C293" s="378">
        <f>('Pivot Table for Data Exchange'!$L$190)*100</f>
        <v>4.4507134622241074</v>
      </c>
      <c r="D293" s="379">
        <f t="shared" si="41"/>
        <v>33.49121542317171</v>
      </c>
      <c r="E293" s="378">
        <f>('Pivot Table for Data Exchange'!$L$193)*100</f>
        <v>33.49121542317171</v>
      </c>
      <c r="F293" s="390">
        <f>('Pivot Table for Data Exchange'!$L$196)*100</f>
        <v>0</v>
      </c>
      <c r="G293" s="385">
        <f>('Pivot Table for Data Exchange'!$L$199)*100</f>
        <v>0</v>
      </c>
      <c r="H293" s="378">
        <f>('Pivot Table for Data Exchange'!$L$202)*100</f>
        <v>0</v>
      </c>
      <c r="I293" s="349"/>
      <c r="J293" s="417"/>
      <c r="K293" s="417"/>
      <c r="L293" s="417"/>
      <c r="M293" s="417"/>
      <c r="N293" s="417"/>
      <c r="O293" s="417"/>
      <c r="P293" s="417"/>
      <c r="Q293" s="383">
        <f t="shared" si="39"/>
        <v>100</v>
      </c>
      <c r="R293" s="383"/>
      <c r="S293" s="432"/>
      <c r="T293" s="432"/>
      <c r="U293" s="432"/>
      <c r="V293" s="432"/>
      <c r="W293" s="432"/>
      <c r="X293" s="432"/>
      <c r="Y293" s="432"/>
      <c r="Z293" s="432"/>
      <c r="AA293" s="432"/>
      <c r="AB293" s="432"/>
      <c r="AC293" s="432"/>
      <c r="AD293" s="432"/>
      <c r="AE293" s="432"/>
      <c r="AF293" s="432"/>
      <c r="AG293" s="432"/>
      <c r="AH293" s="432"/>
      <c r="AI293" s="432"/>
      <c r="AJ293" s="432"/>
      <c r="AK293" s="432"/>
      <c r="AL293" s="432"/>
      <c r="AM293" s="432"/>
      <c r="AN293" s="432"/>
      <c r="AO293" s="432"/>
    </row>
    <row r="294" spans="1:41" ht="15.75" customHeight="1">
      <c r="A294" s="349" t="s">
        <v>891</v>
      </c>
      <c r="B294" s="378">
        <f>('Pivot Table for Data Exchange'!$L$223)*100</f>
        <v>80.120721247605388</v>
      </c>
      <c r="C294" s="378">
        <f>('Pivot Table for Data Exchange'!$L$226)*100</f>
        <v>0</v>
      </c>
      <c r="D294" s="379">
        <f>SUM(E294:G294)</f>
        <v>19.879278752394612</v>
      </c>
      <c r="E294" s="378">
        <f>('Pivot Table for Data Exchange'!$L$229)*100</f>
        <v>19.879278752394612</v>
      </c>
      <c r="F294" s="378">
        <f>('Pivot Table for Data Exchange'!$L$232)*100</f>
        <v>0</v>
      </c>
      <c r="G294" s="386">
        <f>('Pivot Table for Data Exchange'!$L$235)*100</f>
        <v>0</v>
      </c>
      <c r="H294" s="378">
        <f>('Pivot Table for Data Exchange'!$L$238)*100</f>
        <v>0</v>
      </c>
      <c r="I294" s="349"/>
      <c r="J294" s="417"/>
      <c r="K294" s="417"/>
      <c r="L294" s="417"/>
      <c r="M294" s="417"/>
      <c r="N294" s="417"/>
      <c r="O294" s="417"/>
      <c r="P294" s="417"/>
      <c r="Q294" s="383">
        <f t="shared" si="39"/>
        <v>100</v>
      </c>
      <c r="R294" s="383"/>
      <c r="S294" s="432"/>
      <c r="T294" s="436"/>
      <c r="U294" s="432"/>
      <c r="V294" s="432"/>
      <c r="W294" s="432"/>
      <c r="X294" s="432"/>
      <c r="Y294" s="432"/>
      <c r="Z294" s="432"/>
      <c r="AA294" s="432"/>
      <c r="AB294" s="432"/>
      <c r="AC294" s="432"/>
      <c r="AD294" s="432"/>
      <c r="AE294" s="432"/>
      <c r="AF294" s="432"/>
      <c r="AG294" s="432"/>
      <c r="AH294" s="432"/>
      <c r="AI294" s="432"/>
      <c r="AJ294" s="432"/>
      <c r="AK294" s="432"/>
      <c r="AL294" s="432"/>
      <c r="AM294" s="432"/>
      <c r="AN294" s="432"/>
      <c r="AO294" s="432"/>
    </row>
    <row r="295" spans="1:41" ht="15.75" customHeight="1">
      <c r="A295" s="349" t="s">
        <v>892</v>
      </c>
      <c r="B295" s="378">
        <f>('Pivot Table for Data Exchange'!$L$259)*100</f>
        <v>66.627370281934063</v>
      </c>
      <c r="C295" s="378">
        <f>('Pivot Table for Data Exchange'!$L$262)*100</f>
        <v>16.479633873683621</v>
      </c>
      <c r="D295" s="379">
        <f>SUM(E295:G295)</f>
        <v>16.89299584438232</v>
      </c>
      <c r="E295" s="378">
        <f>('Pivot Table for Data Exchange'!$L$265)*100</f>
        <v>16.872647716410093</v>
      </c>
      <c r="F295" s="390">
        <f>('Pivot Table for Data Exchange'!$L$268)*100</f>
        <v>2.0348127972226553E-2</v>
      </c>
      <c r="G295" s="385">
        <f>('Pivot Table for Data Exchange'!$L$271)*100</f>
        <v>0</v>
      </c>
      <c r="H295" s="378">
        <f>('Pivot Table for Data Exchange'!$L$274)*100</f>
        <v>0</v>
      </c>
      <c r="I295" s="349"/>
      <c r="J295" s="417"/>
      <c r="K295" s="417"/>
      <c r="L295" s="417"/>
      <c r="M295" s="417"/>
      <c r="N295" s="417"/>
      <c r="O295" s="417"/>
      <c r="P295" s="417"/>
      <c r="Q295" s="383">
        <f t="shared" si="39"/>
        <v>100</v>
      </c>
      <c r="R295" s="383"/>
      <c r="S295" s="432"/>
      <c r="U295" s="432"/>
      <c r="V295" s="432"/>
      <c r="W295" s="432"/>
      <c r="X295" s="432"/>
      <c r="Y295" s="432"/>
      <c r="Z295" s="432"/>
      <c r="AA295" s="432"/>
      <c r="AB295" s="432"/>
      <c r="AC295" s="432"/>
      <c r="AD295" s="432"/>
      <c r="AE295" s="432"/>
      <c r="AF295" s="432"/>
      <c r="AG295" s="432"/>
      <c r="AH295" s="432"/>
      <c r="AI295" s="432"/>
      <c r="AJ295" s="432"/>
      <c r="AK295" s="432"/>
      <c r="AL295" s="432"/>
      <c r="AM295" s="432"/>
      <c r="AN295" s="432"/>
      <c r="AO295" s="432"/>
    </row>
    <row r="296" spans="1:41" ht="9.75" customHeight="1">
      <c r="B296" s="378"/>
      <c r="C296" s="378"/>
      <c r="D296" s="379"/>
      <c r="E296" s="378"/>
      <c r="F296" s="378"/>
      <c r="G296" s="386"/>
      <c r="H296" s="378"/>
      <c r="I296" s="349"/>
      <c r="J296" s="417"/>
      <c r="K296" s="417"/>
      <c r="L296" s="417"/>
      <c r="M296" s="417"/>
      <c r="N296" s="417"/>
      <c r="O296" s="417"/>
      <c r="P296" s="417"/>
      <c r="Q296" s="383">
        <f t="shared" si="39"/>
        <v>0</v>
      </c>
      <c r="R296" s="383"/>
      <c r="S296" s="432"/>
      <c r="U296" s="432"/>
      <c r="V296" s="432"/>
      <c r="W296" s="432"/>
      <c r="X296" s="432"/>
      <c r="Y296" s="432"/>
      <c r="Z296" s="432"/>
      <c r="AA296" s="432"/>
      <c r="AB296" s="432"/>
      <c r="AC296" s="432"/>
      <c r="AD296" s="432"/>
      <c r="AE296" s="432"/>
      <c r="AF296" s="432"/>
      <c r="AG296" s="432"/>
      <c r="AH296" s="432"/>
      <c r="AI296" s="432"/>
      <c r="AJ296" s="432"/>
      <c r="AK296" s="432"/>
      <c r="AL296" s="432"/>
      <c r="AM296" s="432"/>
      <c r="AN296" s="432"/>
      <c r="AO296" s="432"/>
    </row>
    <row r="297" spans="1:41" ht="15.75" customHeight="1">
      <c r="A297" s="349" t="s">
        <v>940</v>
      </c>
      <c r="B297" s="378">
        <f>('Pivot Table for Data Exchange'!$L$295)*100</f>
        <v>69.342665867071162</v>
      </c>
      <c r="C297" s="378">
        <f>('Pivot Table for Data Exchange'!$L$298)*100</f>
        <v>3.2246432197045412</v>
      </c>
      <c r="D297" s="379">
        <f>SUM(E297:G297)</f>
        <v>27.432690913224288</v>
      </c>
      <c r="E297" s="378">
        <f>('Pivot Table for Data Exchange'!$L$301)*100</f>
        <v>27.432690913224288</v>
      </c>
      <c r="F297" s="378">
        <f>('Pivot Table for Data Exchange'!$L$304)*100</f>
        <v>0</v>
      </c>
      <c r="G297" s="386">
        <f>('Pivot Table for Data Exchange'!$L$307)*100</f>
        <v>0</v>
      </c>
      <c r="H297" s="378">
        <f>('Pivot Table for Data Exchange'!$L$310)*100</f>
        <v>0</v>
      </c>
      <c r="I297" s="424"/>
      <c r="J297" s="417"/>
      <c r="K297" s="417"/>
      <c r="L297" s="417"/>
      <c r="M297" s="417"/>
      <c r="N297" s="417"/>
      <c r="O297" s="417"/>
      <c r="P297" s="417"/>
      <c r="Q297" s="383">
        <f t="shared" si="39"/>
        <v>100</v>
      </c>
      <c r="R297" s="383"/>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row>
    <row r="298" spans="1:41" ht="15.75" customHeight="1">
      <c r="A298" s="349" t="s">
        <v>894</v>
      </c>
      <c r="B298" s="378">
        <f>('Pivot Table for Data Exchange'!$L$331)*100</f>
        <v>40.432170451018557</v>
      </c>
      <c r="C298" s="378">
        <f>('Pivot Table for Data Exchange'!$L$334)*100</f>
        <v>1.9432904497508345</v>
      </c>
      <c r="D298" s="379">
        <f>SUM(E298:G298)</f>
        <v>57.62453909923061</v>
      </c>
      <c r="E298" s="378">
        <f>('Pivot Table for Data Exchange'!$L$337)*100</f>
        <v>57.480991935434147</v>
      </c>
      <c r="F298" s="390">
        <f>('Pivot Table for Data Exchange'!$L$340)*100</f>
        <v>0.1426189142384266</v>
      </c>
      <c r="G298" s="386">
        <f>('Pivot Table for Data Exchange'!$L$343)*100</f>
        <v>9.282495580371791E-4</v>
      </c>
      <c r="H298" s="378">
        <f>('Pivot Table for Data Exchange'!$L$346)*100</f>
        <v>0</v>
      </c>
      <c r="I298" s="349"/>
      <c r="J298" s="417"/>
      <c r="K298" s="417"/>
      <c r="L298" s="417"/>
      <c r="M298" s="417"/>
      <c r="N298" s="417"/>
      <c r="O298" s="417"/>
      <c r="P298" s="417"/>
      <c r="Q298" s="383">
        <f t="shared" si="39"/>
        <v>100</v>
      </c>
      <c r="R298" s="383"/>
      <c r="S298" s="432"/>
      <c r="T298" s="432"/>
      <c r="U298" s="432"/>
      <c r="V298" s="432"/>
      <c r="W298" s="432"/>
      <c r="X298" s="432"/>
      <c r="Y298" s="432"/>
      <c r="Z298" s="432"/>
      <c r="AA298" s="432"/>
      <c r="AB298" s="432"/>
      <c r="AC298" s="432"/>
      <c r="AD298" s="432"/>
      <c r="AE298" s="432"/>
      <c r="AF298" s="432"/>
      <c r="AG298" s="432"/>
      <c r="AH298" s="432"/>
      <c r="AI298" s="432"/>
      <c r="AJ298" s="432"/>
      <c r="AK298" s="432"/>
      <c r="AL298" s="432"/>
      <c r="AM298" s="432"/>
      <c r="AN298" s="432"/>
      <c r="AO298" s="432"/>
    </row>
    <row r="299" spans="1:41" ht="15.75" customHeight="1">
      <c r="A299" s="349" t="s">
        <v>895</v>
      </c>
      <c r="B299" s="378">
        <f>('Pivot Table for Data Exchange'!$L$367)*100</f>
        <v>66.845915928581462</v>
      </c>
      <c r="C299" s="378">
        <f>('Pivot Table for Data Exchange'!$L$370)*100</f>
        <v>3.9027873352719631</v>
      </c>
      <c r="D299" s="379">
        <f>SUM(E299:G299)</f>
        <v>29.251296736146568</v>
      </c>
      <c r="E299" s="378">
        <f>('Pivot Table for Data Exchange'!$L$373)*100</f>
        <v>29.033200884962302</v>
      </c>
      <c r="F299" s="378">
        <f>('Pivot Table for Data Exchange'!$L$376)*100</f>
        <v>0</v>
      </c>
      <c r="G299" s="386">
        <f>('Pivot Table for Data Exchange'!$L$379)*100</f>
        <v>0.218095851184266</v>
      </c>
      <c r="H299" s="390">
        <f>('Pivot Table for Data Exchange'!$L$382)*100</f>
        <v>0</v>
      </c>
      <c r="I299" s="349"/>
      <c r="J299" s="417"/>
      <c r="K299" s="417"/>
      <c r="L299" s="417"/>
      <c r="M299" s="417"/>
      <c r="N299" s="417"/>
      <c r="O299" s="417"/>
      <c r="P299" s="417"/>
      <c r="Q299" s="383">
        <f t="shared" si="39"/>
        <v>100</v>
      </c>
      <c r="R299" s="383"/>
      <c r="S299" s="432"/>
      <c r="T299" s="436"/>
      <c r="U299" s="432"/>
      <c r="V299" s="432"/>
      <c r="W299" s="432"/>
      <c r="X299" s="432"/>
      <c r="Y299" s="432"/>
      <c r="Z299" s="432"/>
      <c r="AA299" s="432"/>
      <c r="AB299" s="432"/>
      <c r="AC299" s="432"/>
      <c r="AD299" s="432"/>
      <c r="AE299" s="432"/>
      <c r="AF299" s="432"/>
      <c r="AG299" s="432"/>
      <c r="AH299" s="432"/>
      <c r="AI299" s="432"/>
      <c r="AJ299" s="432"/>
      <c r="AK299" s="432"/>
      <c r="AL299" s="432"/>
      <c r="AM299" s="432"/>
      <c r="AN299" s="432"/>
      <c r="AO299" s="432"/>
    </row>
    <row r="300" spans="1:41" ht="15.75" customHeight="1">
      <c r="A300" s="349" t="s">
        <v>896</v>
      </c>
      <c r="B300" s="378">
        <f>('Pivot Table for Data Exchange'!$L$403)*100</f>
        <v>62.628552942516436</v>
      </c>
      <c r="C300" s="378">
        <f>('Pivot Table for Data Exchange'!$L$406)*100</f>
        <v>6.2012647360315771</v>
      </c>
      <c r="D300" s="379">
        <f>SUM(E300:G300)</f>
        <v>31.170182321451989</v>
      </c>
      <c r="E300" s="378">
        <f>('Pivot Table for Data Exchange'!$L$409)*100</f>
        <v>31.170182321451989</v>
      </c>
      <c r="F300" s="378">
        <f>('Pivot Table for Data Exchange'!$L$412)*100</f>
        <v>0</v>
      </c>
      <c r="G300" s="386">
        <f>('Pivot Table for Data Exchange'!$L$415)*100</f>
        <v>0</v>
      </c>
      <c r="H300" s="378">
        <f>('Pivot Table for Data Exchange'!$L$418)*100</f>
        <v>0</v>
      </c>
      <c r="I300" s="349"/>
      <c r="J300" s="417"/>
      <c r="K300" s="417"/>
      <c r="L300" s="417"/>
      <c r="M300" s="417"/>
      <c r="N300" s="417"/>
      <c r="O300" s="417"/>
      <c r="P300" s="417"/>
      <c r="Q300" s="383">
        <f t="shared" si="39"/>
        <v>100</v>
      </c>
      <c r="R300" s="383"/>
      <c r="S300" s="432"/>
      <c r="T300" s="432"/>
      <c r="U300" s="432"/>
      <c r="V300" s="432"/>
      <c r="W300" s="432"/>
      <c r="X300" s="432"/>
      <c r="Y300" s="432"/>
      <c r="Z300" s="432"/>
      <c r="AA300" s="432"/>
      <c r="AB300" s="432"/>
      <c r="AC300" s="432"/>
      <c r="AD300" s="432"/>
      <c r="AE300" s="432"/>
      <c r="AF300" s="432"/>
      <c r="AG300" s="432"/>
      <c r="AH300" s="432"/>
      <c r="AI300" s="432"/>
      <c r="AJ300" s="432"/>
      <c r="AK300" s="432"/>
      <c r="AL300" s="432"/>
      <c r="AM300" s="432"/>
      <c r="AN300" s="432"/>
      <c r="AO300" s="432"/>
    </row>
    <row r="301" spans="1:41" ht="11.25" customHeight="1">
      <c r="B301" s="378"/>
      <c r="C301" s="378"/>
      <c r="D301" s="379"/>
      <c r="E301" s="378"/>
      <c r="F301" s="378"/>
      <c r="G301" s="386"/>
      <c r="H301" s="378"/>
      <c r="I301" s="349"/>
      <c r="J301" s="417"/>
      <c r="K301" s="417"/>
      <c r="L301" s="417"/>
      <c r="M301" s="417"/>
      <c r="N301" s="417"/>
      <c r="O301" s="417"/>
      <c r="P301" s="417"/>
      <c r="Q301" s="383">
        <f t="shared" si="39"/>
        <v>0</v>
      </c>
      <c r="R301" s="383"/>
      <c r="S301" s="432"/>
      <c r="T301" s="432"/>
      <c r="U301" s="432"/>
      <c r="V301" s="432"/>
      <c r="W301" s="432"/>
      <c r="X301" s="432"/>
      <c r="Y301" s="432"/>
      <c r="Z301" s="432"/>
      <c r="AA301" s="432"/>
      <c r="AB301" s="432"/>
      <c r="AC301" s="432"/>
      <c r="AD301" s="432"/>
      <c r="AE301" s="432"/>
      <c r="AF301" s="432"/>
      <c r="AG301" s="432"/>
      <c r="AH301" s="432"/>
      <c r="AI301" s="432"/>
      <c r="AJ301" s="432"/>
      <c r="AK301" s="432"/>
      <c r="AL301" s="432"/>
      <c r="AM301" s="432"/>
      <c r="AN301" s="432"/>
      <c r="AO301" s="432"/>
    </row>
    <row r="302" spans="1:41" ht="15.75" customHeight="1">
      <c r="A302" s="349" t="s">
        <v>897</v>
      </c>
      <c r="B302" s="378">
        <f>('Pivot Table for Data Exchange'!$L$439)*100</f>
        <v>41.945332011164979</v>
      </c>
      <c r="C302" s="378">
        <f>('Pivot Table for Data Exchange'!$L$442)*100</f>
        <v>31.927152196268548</v>
      </c>
      <c r="D302" s="379">
        <f>SUM(E302:G302)</f>
        <v>26.034091743793155</v>
      </c>
      <c r="E302" s="378">
        <f>('Pivot Table for Data Exchange'!$L$445)*100</f>
        <v>21.715123218745408</v>
      </c>
      <c r="F302" s="378">
        <f>('Pivot Table for Data Exchange'!$L$448)*100</f>
        <v>4.0629131776112826E-2</v>
      </c>
      <c r="G302" s="386">
        <f>('Pivot Table for Data Exchange'!$L$451)*100</f>
        <v>4.278339393271632</v>
      </c>
      <c r="H302" s="378">
        <f>('Pivot Table for Data Exchange'!$L$454)*100</f>
        <v>9.3424048773321583E-2</v>
      </c>
      <c r="I302" s="349"/>
      <c r="J302" s="417"/>
      <c r="K302" s="417"/>
      <c r="L302" s="417"/>
      <c r="M302" s="417"/>
      <c r="N302" s="417"/>
      <c r="O302" s="417"/>
      <c r="P302" s="417"/>
      <c r="Q302" s="383">
        <f t="shared" si="39"/>
        <v>100</v>
      </c>
      <c r="R302" s="383"/>
      <c r="S302" s="432"/>
      <c r="T302" s="432"/>
      <c r="U302" s="432"/>
      <c r="V302" s="432"/>
      <c r="W302" s="432"/>
      <c r="X302" s="432"/>
      <c r="Y302" s="432"/>
      <c r="Z302" s="432"/>
      <c r="AA302" s="432"/>
      <c r="AB302" s="432"/>
      <c r="AC302" s="432"/>
      <c r="AD302" s="432"/>
      <c r="AE302" s="432"/>
      <c r="AF302" s="432"/>
      <c r="AG302" s="432"/>
      <c r="AH302" s="432"/>
      <c r="AI302" s="432"/>
      <c r="AJ302" s="432"/>
      <c r="AK302" s="432"/>
      <c r="AL302" s="432"/>
      <c r="AM302" s="432"/>
      <c r="AN302" s="432"/>
      <c r="AO302" s="432"/>
    </row>
    <row r="303" spans="1:41" ht="15.75" customHeight="1">
      <c r="A303" s="349" t="s">
        <v>898</v>
      </c>
      <c r="B303" s="378">
        <f>('Pivot Table for Data Exchange'!$L$475)*100</f>
        <v>60.613826312341736</v>
      </c>
      <c r="C303" s="378">
        <f>('Pivot Table for Data Exchange'!$L$478)*100</f>
        <v>12.01291637631182</v>
      </c>
      <c r="D303" s="379">
        <f>SUM(E303:G303)</f>
        <v>27.37325731134645</v>
      </c>
      <c r="E303" s="378">
        <f>('Pivot Table for Data Exchange'!$L$481)*100</f>
        <v>27.332729494730341</v>
      </c>
      <c r="F303" s="378">
        <f>('Pivot Table for Data Exchange'!$L$484)*100</f>
        <v>3.7642920489775779E-2</v>
      </c>
      <c r="G303" s="386">
        <f>('Pivot Table for Data Exchange'!$L$487)*100</f>
        <v>2.8848961263305962E-3</v>
      </c>
      <c r="H303" s="378">
        <f>('Pivot Table for Data Exchange'!$L$490)*100</f>
        <v>0</v>
      </c>
      <c r="I303" s="349"/>
      <c r="J303" s="417"/>
      <c r="K303" s="417"/>
      <c r="L303" s="417"/>
      <c r="M303" s="417"/>
      <c r="N303" s="417"/>
      <c r="O303" s="417"/>
      <c r="P303" s="417"/>
      <c r="Q303" s="383">
        <f t="shared" si="39"/>
        <v>100</v>
      </c>
      <c r="R303" s="383"/>
      <c r="S303" s="432"/>
      <c r="T303" s="432"/>
      <c r="U303" s="432"/>
      <c r="V303" s="432"/>
      <c r="W303" s="432"/>
      <c r="X303" s="432"/>
      <c r="Y303" s="432"/>
      <c r="Z303" s="432"/>
      <c r="AA303" s="432"/>
      <c r="AB303" s="432"/>
      <c r="AC303" s="432"/>
      <c r="AD303" s="432"/>
      <c r="AE303" s="432"/>
      <c r="AF303" s="432"/>
      <c r="AG303" s="432"/>
      <c r="AH303" s="432"/>
      <c r="AI303" s="432"/>
      <c r="AJ303" s="432"/>
      <c r="AK303" s="432"/>
      <c r="AL303" s="432"/>
      <c r="AM303" s="432"/>
      <c r="AN303" s="432"/>
      <c r="AO303" s="432"/>
    </row>
    <row r="304" spans="1:41" ht="15.75" customHeight="1">
      <c r="A304" s="349" t="s">
        <v>899</v>
      </c>
      <c r="B304" s="378">
        <f>('Pivot Table for Data Exchange'!$L$511)*100</f>
        <v>63.91878192381175</v>
      </c>
      <c r="C304" s="378">
        <f>('Pivot Table for Data Exchange'!$L$514)*100</f>
        <v>8.1955312306969308</v>
      </c>
      <c r="D304" s="379">
        <f>SUM(E304:G304)</f>
        <v>27.885686845491318</v>
      </c>
      <c r="E304" s="378">
        <f>('Pivot Table for Data Exchange'!$L$517)*100</f>
        <v>27.805139823473763</v>
      </c>
      <c r="F304" s="378">
        <f>('Pivot Table for Data Exchange'!$L$520)*100</f>
        <v>8.0547022017554121E-2</v>
      </c>
      <c r="G304" s="386">
        <f>('Pivot Table for Data Exchange'!$L$523)*100</f>
        <v>0</v>
      </c>
      <c r="H304" s="378">
        <f>('Pivot Table for Data Exchange'!$L$526)*100</f>
        <v>0</v>
      </c>
      <c r="I304" s="349"/>
      <c r="J304" s="417"/>
      <c r="K304" s="417"/>
      <c r="L304" s="417"/>
      <c r="M304" s="417"/>
      <c r="N304" s="417"/>
      <c r="O304" s="417"/>
      <c r="P304" s="417"/>
      <c r="Q304" s="383">
        <f t="shared" si="39"/>
        <v>100</v>
      </c>
      <c r="R304" s="383"/>
      <c r="S304" s="432"/>
      <c r="T304" s="432"/>
      <c r="U304" s="432"/>
      <c r="V304" s="432"/>
      <c r="W304" s="432"/>
      <c r="X304" s="432"/>
      <c r="Y304" s="432"/>
      <c r="Z304" s="432"/>
      <c r="AA304" s="432"/>
      <c r="AB304" s="432"/>
      <c r="AC304" s="432"/>
      <c r="AD304" s="432"/>
      <c r="AE304" s="432"/>
      <c r="AF304" s="432"/>
      <c r="AG304" s="432"/>
      <c r="AH304" s="432"/>
      <c r="AI304" s="432"/>
      <c r="AJ304" s="432"/>
      <c r="AK304" s="432"/>
      <c r="AL304" s="432"/>
      <c r="AM304" s="432"/>
      <c r="AN304" s="432"/>
      <c r="AO304" s="432"/>
    </row>
    <row r="305" spans="1:41" ht="15.75" customHeight="1">
      <c r="A305" s="355" t="s">
        <v>900</v>
      </c>
      <c r="B305" s="391">
        <f>('Pivot Table for Data Exchange'!$L$547)*100</f>
        <v>0</v>
      </c>
      <c r="C305" s="391">
        <f>('Pivot Table for Data Exchange'!$L$550)*100</f>
        <v>0</v>
      </c>
      <c r="D305" s="392">
        <f>SUM(E305:G305)</f>
        <v>0</v>
      </c>
      <c r="E305" s="391">
        <f>('Pivot Table for Data Exchange'!$L$553)*100</f>
        <v>0</v>
      </c>
      <c r="F305" s="391">
        <f>('Pivot Table for Data Exchange'!$L$556)*100</f>
        <v>0</v>
      </c>
      <c r="G305" s="393">
        <f>('Pivot Table for Data Exchange'!$L$559)*100</f>
        <v>0</v>
      </c>
      <c r="H305" s="391">
        <f>('Pivot Table for Data Exchange'!$L$562)*100</f>
        <v>0</v>
      </c>
      <c r="I305" s="349"/>
      <c r="J305" s="417"/>
      <c r="K305" s="417"/>
      <c r="L305" s="417"/>
      <c r="M305" s="417"/>
      <c r="N305" s="417"/>
      <c r="O305" s="417"/>
      <c r="P305" s="417"/>
      <c r="Q305" s="383">
        <f t="shared" si="39"/>
        <v>0</v>
      </c>
      <c r="R305" s="383"/>
      <c r="S305" s="432"/>
      <c r="T305" s="432"/>
      <c r="U305" s="432"/>
      <c r="V305" s="432"/>
      <c r="W305" s="432"/>
      <c r="X305" s="432"/>
      <c r="Y305" s="432"/>
      <c r="Z305" s="432"/>
      <c r="AA305" s="432"/>
      <c r="AB305" s="432"/>
      <c r="AC305" s="432"/>
      <c r="AD305" s="432"/>
      <c r="AE305" s="432"/>
      <c r="AF305" s="432"/>
      <c r="AG305" s="432"/>
      <c r="AH305" s="432"/>
      <c r="AI305" s="432"/>
      <c r="AJ305" s="432"/>
      <c r="AK305" s="432"/>
      <c r="AL305" s="432"/>
      <c r="AM305" s="432"/>
      <c r="AN305" s="432"/>
      <c r="AO305" s="432"/>
    </row>
    <row r="306" spans="1:41" s="422" customFormat="1" ht="13.5" customHeight="1">
      <c r="A306" s="397" t="s">
        <v>926</v>
      </c>
      <c r="B306" s="398"/>
      <c r="C306" s="398"/>
      <c r="D306" s="399"/>
      <c r="E306" s="398"/>
      <c r="F306" s="399"/>
      <c r="G306" s="399"/>
      <c r="H306" s="398"/>
      <c r="I306" s="407"/>
      <c r="J306" s="398"/>
      <c r="K306" s="398"/>
      <c r="L306" s="399"/>
      <c r="M306" s="398"/>
      <c r="N306" s="399"/>
      <c r="O306" s="399"/>
      <c r="P306" s="398"/>
      <c r="Q306" s="383">
        <f t="shared" si="39"/>
        <v>0</v>
      </c>
      <c r="R306" s="418"/>
      <c r="S306" s="435"/>
      <c r="T306" s="435"/>
      <c r="U306" s="435"/>
      <c r="V306" s="435"/>
      <c r="W306" s="435"/>
      <c r="X306" s="435"/>
      <c r="Y306" s="435"/>
      <c r="Z306" s="435"/>
      <c r="AA306" s="435"/>
      <c r="AB306" s="435"/>
      <c r="AC306" s="435"/>
      <c r="AD306" s="435"/>
      <c r="AE306" s="435"/>
      <c r="AF306" s="435"/>
      <c r="AG306" s="435"/>
      <c r="AH306" s="435"/>
      <c r="AI306" s="435"/>
      <c r="AJ306" s="435"/>
      <c r="AK306" s="435"/>
      <c r="AL306" s="435"/>
      <c r="AM306" s="435"/>
      <c r="AN306" s="435"/>
      <c r="AO306" s="435"/>
    </row>
    <row r="307" spans="1:41" s="422" customFormat="1" ht="24" customHeight="1">
      <c r="A307" s="501" t="s">
        <v>941</v>
      </c>
      <c r="B307" s="502"/>
      <c r="C307" s="502"/>
      <c r="D307" s="502"/>
      <c r="E307" s="502"/>
      <c r="F307" s="502"/>
      <c r="G307" s="502"/>
      <c r="H307" s="502"/>
      <c r="I307" s="407"/>
      <c r="J307" s="396"/>
      <c r="K307" s="396"/>
      <c r="L307" s="396"/>
      <c r="M307" s="396"/>
      <c r="N307" s="396"/>
      <c r="O307" s="396"/>
      <c r="P307" s="409"/>
      <c r="Q307" s="383">
        <f t="shared" si="39"/>
        <v>0</v>
      </c>
      <c r="R307" s="419"/>
    </row>
    <row r="308" spans="1:41" s="422" customFormat="1" ht="13.5" customHeight="1">
      <c r="A308" s="407"/>
      <c r="B308" s="396"/>
      <c r="C308" s="396"/>
      <c r="D308" s="396"/>
      <c r="E308" s="396"/>
      <c r="F308" s="396"/>
      <c r="G308" s="396"/>
      <c r="H308" s="396"/>
      <c r="I308" s="407"/>
      <c r="J308" s="396"/>
      <c r="K308" s="396"/>
      <c r="L308" s="396"/>
      <c r="M308" s="396"/>
      <c r="N308" s="396"/>
      <c r="O308" s="396"/>
      <c r="P308" s="396"/>
      <c r="Q308" s="383">
        <f t="shared" si="39"/>
        <v>0</v>
      </c>
      <c r="R308" s="419"/>
    </row>
    <row r="309" spans="1:41" s="422" customFormat="1">
      <c r="A309" s="396"/>
      <c r="B309" s="396"/>
      <c r="C309" s="396"/>
      <c r="D309" s="396"/>
      <c r="E309" s="396"/>
      <c r="F309" s="396"/>
      <c r="G309" s="396"/>
      <c r="H309" s="402" t="s">
        <v>1007</v>
      </c>
      <c r="I309" s="423"/>
      <c r="J309" s="396"/>
      <c r="K309" s="396"/>
      <c r="L309" s="396"/>
      <c r="M309" s="396"/>
      <c r="N309" s="396"/>
      <c r="O309" s="396"/>
      <c r="P309" s="396"/>
      <c r="Q309" s="383">
        <f t="shared" si="39"/>
        <v>0</v>
      </c>
      <c r="R309" s="419"/>
    </row>
    <row r="310" spans="1:41" ht="18">
      <c r="A310" s="344" t="s">
        <v>945</v>
      </c>
      <c r="B310" s="345"/>
      <c r="C310" s="345"/>
      <c r="D310" s="345"/>
      <c r="E310" s="345"/>
      <c r="F310" s="345"/>
      <c r="G310" s="345"/>
      <c r="H310" s="345"/>
      <c r="Q310" s="383">
        <f t="shared" si="39"/>
        <v>0</v>
      </c>
    </row>
    <row r="311" spans="1:41">
      <c r="A311" s="350"/>
      <c r="B311" s="346"/>
      <c r="C311" s="346"/>
      <c r="D311" s="346"/>
      <c r="E311" s="346"/>
      <c r="F311" s="346"/>
      <c r="G311" s="346"/>
      <c r="H311" s="346"/>
      <c r="Q311" s="383">
        <f t="shared" si="39"/>
        <v>0</v>
      </c>
    </row>
    <row r="312" spans="1:41" ht="15.75">
      <c r="A312" s="352" t="s">
        <v>906</v>
      </c>
      <c r="B312" s="346"/>
      <c r="C312" s="346"/>
      <c r="D312" s="346"/>
      <c r="E312" s="346"/>
      <c r="F312" s="346"/>
      <c r="G312" s="346"/>
      <c r="H312" s="346"/>
      <c r="Q312" s="383">
        <f t="shared" si="39"/>
        <v>0</v>
      </c>
    </row>
    <row r="313" spans="1:41" ht="15.75">
      <c r="A313" s="352" t="s">
        <v>976</v>
      </c>
      <c r="B313" s="346"/>
      <c r="C313" s="346"/>
      <c r="D313" s="346"/>
      <c r="E313" s="346"/>
      <c r="F313" s="346"/>
      <c r="G313" s="346"/>
      <c r="H313" s="346"/>
      <c r="Q313" s="383">
        <f t="shared" si="39"/>
        <v>0</v>
      </c>
    </row>
    <row r="314" spans="1:41">
      <c r="A314" s="355"/>
      <c r="B314" s="356"/>
      <c r="C314" s="356"/>
      <c r="D314" s="356"/>
      <c r="E314" s="356"/>
      <c r="F314" s="356"/>
      <c r="G314" s="356"/>
      <c r="H314" s="356"/>
      <c r="Q314" s="383">
        <f t="shared" si="39"/>
        <v>0</v>
      </c>
    </row>
    <row r="315" spans="1:41">
      <c r="A315" s="360"/>
      <c r="B315" s="361" t="s">
        <v>908</v>
      </c>
      <c r="C315" s="361"/>
      <c r="D315" s="361"/>
      <c r="E315" s="361"/>
      <c r="F315" s="361"/>
      <c r="G315" s="361"/>
      <c r="H315" s="362"/>
      <c r="Q315" s="383">
        <f t="shared" si="39"/>
        <v>0</v>
      </c>
    </row>
    <row r="316" spans="1:41">
      <c r="A316" s="360"/>
      <c r="B316" s="361" t="s">
        <v>909</v>
      </c>
      <c r="C316" s="361"/>
      <c r="D316" s="506" t="s">
        <v>910</v>
      </c>
      <c r="E316" s="504"/>
      <c r="F316" s="504"/>
      <c r="G316" s="504"/>
      <c r="H316" s="368" t="s">
        <v>800</v>
      </c>
      <c r="Q316" s="383">
        <f t="shared" si="39"/>
        <v>0</v>
      </c>
    </row>
    <row r="317" spans="1:41" ht="36">
      <c r="A317" s="360"/>
      <c r="B317" s="369" t="s">
        <v>911</v>
      </c>
      <c r="C317" s="370" t="s">
        <v>912</v>
      </c>
      <c r="D317" s="371" t="s">
        <v>913</v>
      </c>
      <c r="E317" s="372" t="s">
        <v>10</v>
      </c>
      <c r="F317" s="369" t="s">
        <v>914</v>
      </c>
      <c r="G317" s="373" t="s">
        <v>924</v>
      </c>
      <c r="H317" s="374" t="s">
        <v>916</v>
      </c>
      <c r="Q317" s="383">
        <f t="shared" si="39"/>
        <v>0</v>
      </c>
    </row>
    <row r="318" spans="1:41" ht="15.75" customHeight="1">
      <c r="A318" s="404" t="s">
        <v>885</v>
      </c>
      <c r="B318" s="431">
        <f>('Pivot Table for Data Exchange'!$M$7)*100</f>
        <v>62.078309363330831</v>
      </c>
      <c r="C318" s="378">
        <f>('Pivot Table for Data Exchange'!$M$10)*100</f>
        <v>16.227472845873951</v>
      </c>
      <c r="D318" s="379">
        <f>SUM(E318:G318)</f>
        <v>21.694217790795214</v>
      </c>
      <c r="E318" s="378">
        <f>('Pivot Table for Data Exchange'!$M$13)*100</f>
        <v>21.138492825277076</v>
      </c>
      <c r="F318" s="378">
        <f>('Pivot Table for Data Exchange'!$M$16)*100</f>
        <v>0.38003296802275421</v>
      </c>
      <c r="G318" s="382">
        <f>('Pivot Table for Data Exchange'!$M$19)*100</f>
        <v>0.17569199749538522</v>
      </c>
      <c r="H318" s="378">
        <f>('Pivot Table for Data Exchange'!$M$22)*100</f>
        <v>0</v>
      </c>
      <c r="I318" s="349"/>
      <c r="J318" s="417"/>
      <c r="K318" s="417"/>
      <c r="L318" s="417"/>
      <c r="M318" s="417"/>
      <c r="N318" s="417"/>
      <c r="O318" s="417"/>
      <c r="P318" s="417"/>
      <c r="Q318" s="383">
        <f t="shared" si="39"/>
        <v>100</v>
      </c>
      <c r="R318" s="383"/>
      <c r="S318" s="432"/>
      <c r="T318" s="432"/>
      <c r="U318" s="432"/>
      <c r="V318" s="432"/>
      <c r="W318" s="432"/>
      <c r="X318" s="432"/>
      <c r="Y318" s="432"/>
      <c r="Z318" s="432"/>
      <c r="AA318" s="432"/>
      <c r="AB318" s="432"/>
      <c r="AC318" s="432"/>
      <c r="AD318" s="432"/>
      <c r="AE318" s="432"/>
      <c r="AF318" s="432"/>
      <c r="AG318" s="432"/>
      <c r="AH318" s="432"/>
      <c r="AI318" s="432"/>
      <c r="AJ318" s="432"/>
      <c r="AK318" s="432"/>
      <c r="AL318" s="432"/>
      <c r="AM318" s="432"/>
      <c r="AN318" s="432"/>
      <c r="AO318" s="432"/>
    </row>
    <row r="319" spans="1:41" ht="15.75" customHeight="1">
      <c r="A319" s="349" t="s">
        <v>886</v>
      </c>
      <c r="B319" s="378">
        <f>('Pivot Table for Data Exchange'!$M$43)*100</f>
        <v>64.607388201655013</v>
      </c>
      <c r="C319" s="378">
        <f>('Pivot Table for Data Exchange'!$M$46)*100</f>
        <v>10.200273816591347</v>
      </c>
      <c r="D319" s="379">
        <f t="shared" ref="D319:D321" si="42">SUM(E319:G319)</f>
        <v>25.192337981753642</v>
      </c>
      <c r="E319" s="378">
        <f>('Pivot Table for Data Exchange'!$M$49)*100</f>
        <v>25.108739110944185</v>
      </c>
      <c r="F319" s="378">
        <f>('Pivot Table for Data Exchange'!$M$52)*100</f>
        <v>8.3598870809455147E-2</v>
      </c>
      <c r="G319" s="386">
        <f>('Pivot Table for Data Exchange'!$M$55)*100</f>
        <v>0</v>
      </c>
      <c r="H319" s="378">
        <f>('Pivot Table for Data Exchange'!$M$58)*100</f>
        <v>0</v>
      </c>
      <c r="I319" s="349"/>
      <c r="J319" s="417"/>
      <c r="K319" s="417"/>
      <c r="L319" s="417"/>
      <c r="M319" s="417"/>
      <c r="N319" s="417"/>
      <c r="O319" s="417"/>
      <c r="P319" s="417"/>
      <c r="Q319" s="383">
        <f t="shared" si="39"/>
        <v>100</v>
      </c>
      <c r="R319" s="383"/>
      <c r="S319" s="432"/>
      <c r="T319" s="432"/>
      <c r="U319" s="432"/>
      <c r="V319" s="432"/>
      <c r="W319" s="432"/>
      <c r="X319" s="432"/>
      <c r="Y319" s="432"/>
      <c r="Z319" s="432"/>
      <c r="AA319" s="432"/>
      <c r="AB319" s="432"/>
      <c r="AC319" s="432"/>
      <c r="AD319" s="432"/>
      <c r="AE319" s="432"/>
      <c r="AF319" s="432"/>
      <c r="AG319" s="432"/>
      <c r="AH319" s="432"/>
      <c r="AI319" s="432"/>
      <c r="AJ319" s="432"/>
      <c r="AK319" s="432"/>
      <c r="AL319" s="432"/>
      <c r="AM319" s="432"/>
      <c r="AN319" s="432"/>
      <c r="AO319" s="432"/>
    </row>
    <row r="320" spans="1:41" ht="15.75" customHeight="1">
      <c r="A320" s="349" t="s">
        <v>887</v>
      </c>
      <c r="B320" s="378">
        <f>('Pivot Table for Data Exchange'!$M$79)*100</f>
        <v>83.456419910633556</v>
      </c>
      <c r="C320" s="378">
        <f>('Pivot Table for Data Exchange'!$M$82)*100</f>
        <v>0</v>
      </c>
      <c r="D320" s="379">
        <f t="shared" si="42"/>
        <v>16.543580089366436</v>
      </c>
      <c r="E320" s="378">
        <f>('Pivot Table for Data Exchange'!$M$85)*100</f>
        <v>16.020477637928277</v>
      </c>
      <c r="F320" s="378">
        <f>('Pivot Table for Data Exchange'!$M$88)*100</f>
        <v>0.32628794446035991</v>
      </c>
      <c r="G320" s="386">
        <f>('Pivot Table for Data Exchange'!$M$91)*100</f>
        <v>0.19681450697779979</v>
      </c>
      <c r="H320" s="378">
        <f>('Pivot Table for Data Exchange'!$M$94)*100</f>
        <v>0</v>
      </c>
      <c r="I320" s="349"/>
      <c r="J320" s="417"/>
      <c r="K320" s="417"/>
      <c r="L320" s="417"/>
      <c r="M320" s="417"/>
      <c r="N320" s="417"/>
      <c r="O320" s="417"/>
      <c r="P320" s="417"/>
      <c r="Q320" s="383">
        <f t="shared" si="39"/>
        <v>100</v>
      </c>
      <c r="R320" s="383"/>
      <c r="S320" s="432"/>
      <c r="T320" s="436"/>
      <c r="U320" s="432"/>
      <c r="V320" s="432"/>
      <c r="W320" s="432"/>
      <c r="X320" s="432"/>
      <c r="Y320" s="432"/>
      <c r="Z320" s="432"/>
      <c r="AA320" s="432"/>
      <c r="AB320" s="432"/>
      <c r="AC320" s="432"/>
      <c r="AD320" s="432"/>
      <c r="AE320" s="432"/>
      <c r="AF320" s="432"/>
      <c r="AG320" s="432"/>
      <c r="AH320" s="432"/>
      <c r="AI320" s="432"/>
      <c r="AJ320" s="432"/>
      <c r="AK320" s="432"/>
      <c r="AL320" s="432"/>
      <c r="AM320" s="432"/>
      <c r="AN320" s="432"/>
      <c r="AO320" s="432"/>
    </row>
    <row r="321" spans="1:41" ht="15.75" customHeight="1">
      <c r="A321" s="349" t="s">
        <v>925</v>
      </c>
      <c r="B321" s="378">
        <f>('Pivot Table for Data Exchange'!$M$115)*100</f>
        <v>0</v>
      </c>
      <c r="C321" s="378">
        <f>('Pivot Table for Data Exchange'!$M$118)*100</f>
        <v>0</v>
      </c>
      <c r="D321" s="379">
        <f t="shared" si="42"/>
        <v>0</v>
      </c>
      <c r="E321" s="378">
        <f>('Pivot Table for Data Exchange'!$M$121)*100</f>
        <v>0</v>
      </c>
      <c r="F321" s="378">
        <f>('Pivot Table for Data Exchange'!$M$124)*100</f>
        <v>0</v>
      </c>
      <c r="G321" s="385">
        <f>('Pivot Table for Data Exchange'!$M$127)*100</f>
        <v>0</v>
      </c>
      <c r="H321" s="378">
        <f>('Pivot Table for Data Exchange'!$M$130)*100</f>
        <v>0</v>
      </c>
      <c r="I321" s="349"/>
      <c r="J321" s="417"/>
      <c r="K321" s="417"/>
      <c r="L321" s="417"/>
      <c r="M321" s="417"/>
      <c r="N321" s="417"/>
      <c r="O321" s="417"/>
      <c r="P321" s="417"/>
      <c r="Q321" s="383">
        <f t="shared" si="39"/>
        <v>0</v>
      </c>
      <c r="R321" s="383"/>
      <c r="S321" s="432"/>
      <c r="U321" s="432"/>
      <c r="V321" s="432"/>
      <c r="W321" s="432"/>
      <c r="X321" s="432"/>
      <c r="Y321" s="432"/>
      <c r="Z321" s="432"/>
      <c r="AA321" s="432"/>
      <c r="AB321" s="432"/>
      <c r="AC321" s="432"/>
      <c r="AD321" s="432"/>
      <c r="AE321" s="432"/>
      <c r="AF321" s="432"/>
      <c r="AG321" s="432"/>
      <c r="AH321" s="432"/>
      <c r="AI321" s="432"/>
      <c r="AJ321" s="432"/>
      <c r="AK321" s="432"/>
      <c r="AL321" s="432"/>
      <c r="AM321" s="432"/>
      <c r="AN321" s="432"/>
      <c r="AO321" s="432"/>
    </row>
    <row r="322" spans="1:41" ht="15.75" customHeight="1">
      <c r="B322" s="378"/>
      <c r="C322" s="378"/>
      <c r="D322" s="379"/>
      <c r="E322" s="378"/>
      <c r="F322" s="378"/>
      <c r="G322" s="386"/>
      <c r="H322" s="378"/>
      <c r="I322" s="349"/>
      <c r="J322" s="417"/>
      <c r="K322" s="417"/>
      <c r="L322" s="417"/>
      <c r="M322" s="417"/>
      <c r="N322" s="417"/>
      <c r="O322" s="417"/>
      <c r="P322" s="417"/>
      <c r="Q322" s="383">
        <f t="shared" si="39"/>
        <v>0</v>
      </c>
      <c r="R322" s="383"/>
      <c r="S322" s="432"/>
      <c r="U322" s="432"/>
      <c r="V322" s="432"/>
      <c r="W322" s="432"/>
      <c r="X322" s="432"/>
      <c r="Y322" s="432"/>
      <c r="Z322" s="432"/>
      <c r="AA322" s="432"/>
      <c r="AB322" s="432"/>
      <c r="AC322" s="432"/>
      <c r="AD322" s="432"/>
      <c r="AE322" s="432"/>
      <c r="AF322" s="432"/>
      <c r="AG322" s="432"/>
      <c r="AH322" s="432"/>
      <c r="AI322" s="432"/>
      <c r="AJ322" s="432"/>
      <c r="AK322" s="432"/>
      <c r="AL322" s="432"/>
      <c r="AM322" s="432"/>
      <c r="AN322" s="432"/>
      <c r="AO322" s="432"/>
    </row>
    <row r="323" spans="1:41" ht="15.75" customHeight="1">
      <c r="A323" s="349" t="s">
        <v>889</v>
      </c>
      <c r="B323" s="378">
        <f>('Pivot Table for Data Exchange'!$M$151)*100</f>
        <v>0</v>
      </c>
      <c r="C323" s="378">
        <f>('Pivot Table for Data Exchange'!$M$154)*100</f>
        <v>0</v>
      </c>
      <c r="D323" s="379">
        <f t="shared" ref="D323:D324" si="43">SUM(E323:G323)</f>
        <v>0</v>
      </c>
      <c r="E323" s="378">
        <f>('Pivot Table for Data Exchange'!$M$157)*100</f>
        <v>0</v>
      </c>
      <c r="F323" s="378">
        <f>('Pivot Table for Data Exchange'!$M$160)*100</f>
        <v>0</v>
      </c>
      <c r="G323" s="386">
        <f>('Pivot Table for Data Exchange'!$M$163)*100</f>
        <v>0</v>
      </c>
      <c r="H323" s="378">
        <f>('Pivot Table for Data Exchange'!$M$166)*100</f>
        <v>0</v>
      </c>
      <c r="I323" s="349"/>
      <c r="J323" s="417"/>
      <c r="K323" s="417"/>
      <c r="L323" s="417"/>
      <c r="M323" s="417"/>
      <c r="N323" s="417"/>
      <c r="O323" s="417"/>
      <c r="P323" s="417"/>
      <c r="Q323" s="383">
        <f t="shared" si="39"/>
        <v>0</v>
      </c>
      <c r="R323" s="383"/>
      <c r="S323" s="432"/>
      <c r="T323" s="432"/>
      <c r="U323" s="432"/>
      <c r="V323" s="432"/>
      <c r="W323" s="432"/>
      <c r="X323" s="432"/>
      <c r="Y323" s="432"/>
      <c r="Z323" s="432"/>
      <c r="AA323" s="432"/>
      <c r="AB323" s="432"/>
      <c r="AC323" s="432"/>
      <c r="AD323" s="432"/>
      <c r="AE323" s="432"/>
      <c r="AF323" s="432"/>
      <c r="AG323" s="432"/>
      <c r="AH323" s="432"/>
      <c r="AI323" s="432"/>
      <c r="AJ323" s="432"/>
      <c r="AK323" s="432"/>
      <c r="AL323" s="432"/>
      <c r="AM323" s="432"/>
      <c r="AN323" s="432"/>
      <c r="AO323" s="432"/>
    </row>
    <row r="324" spans="1:41" ht="15.75" customHeight="1">
      <c r="A324" s="349" t="s">
        <v>890</v>
      </c>
      <c r="B324" s="378">
        <f>('Pivot Table for Data Exchange'!$M$187)*100</f>
        <v>50.717684308874169</v>
      </c>
      <c r="C324" s="378">
        <f>('Pivot Table for Data Exchange'!$M$190)*100</f>
        <v>4.5526584424797134</v>
      </c>
      <c r="D324" s="379">
        <f t="shared" si="43"/>
        <v>44.72965724864612</v>
      </c>
      <c r="E324" s="378">
        <f>('Pivot Table for Data Exchange'!$M$193)*100</f>
        <v>44.72965724864612</v>
      </c>
      <c r="F324" s="378">
        <f>('Pivot Table for Data Exchange'!$M$196)*100</f>
        <v>0</v>
      </c>
      <c r="G324" s="386">
        <f>('Pivot Table for Data Exchange'!$M$199)*100</f>
        <v>0</v>
      </c>
      <c r="H324" s="378">
        <f>('Pivot Table for Data Exchange'!$M$202)*100</f>
        <v>0</v>
      </c>
      <c r="I324" s="349"/>
      <c r="J324" s="417"/>
      <c r="K324" s="417"/>
      <c r="L324" s="417"/>
      <c r="M324" s="417"/>
      <c r="N324" s="417"/>
      <c r="O324" s="417"/>
      <c r="P324" s="417"/>
      <c r="Q324" s="383">
        <f t="shared" si="39"/>
        <v>100</v>
      </c>
      <c r="R324" s="383"/>
      <c r="S324" s="432"/>
      <c r="T324" s="432"/>
      <c r="U324" s="432"/>
      <c r="V324" s="432"/>
      <c r="W324" s="432"/>
      <c r="X324" s="432"/>
      <c r="Y324" s="432"/>
      <c r="Z324" s="432"/>
      <c r="AA324" s="432"/>
      <c r="AB324" s="432"/>
      <c r="AC324" s="432"/>
      <c r="AD324" s="432"/>
      <c r="AE324" s="432"/>
      <c r="AF324" s="432"/>
      <c r="AG324" s="432"/>
      <c r="AH324" s="432"/>
      <c r="AI324" s="432"/>
      <c r="AJ324" s="432"/>
      <c r="AK324" s="432"/>
      <c r="AL324" s="432"/>
      <c r="AM324" s="432"/>
      <c r="AN324" s="432"/>
      <c r="AO324" s="432"/>
    </row>
    <row r="325" spans="1:41" ht="15.75" customHeight="1">
      <c r="A325" s="349" t="s">
        <v>891</v>
      </c>
      <c r="B325" s="378">
        <f>('Pivot Table for Data Exchange'!$M$223)*100</f>
        <v>84.076742200206994</v>
      </c>
      <c r="C325" s="378">
        <f>('Pivot Table for Data Exchange'!$M$226)*100</f>
        <v>0</v>
      </c>
      <c r="D325" s="379">
        <f>SUM(E325:G325)</f>
        <v>15.923257799793006</v>
      </c>
      <c r="E325" s="378">
        <f>('Pivot Table for Data Exchange'!$M$229)*100</f>
        <v>15.923257799793006</v>
      </c>
      <c r="F325" s="378">
        <f>('Pivot Table for Data Exchange'!$M$232)*100</f>
        <v>0</v>
      </c>
      <c r="G325" s="386">
        <f>('Pivot Table for Data Exchange'!$M$235)*100</f>
        <v>0</v>
      </c>
      <c r="H325" s="378">
        <f>('Pivot Table for Data Exchange'!$M$238)*100</f>
        <v>0</v>
      </c>
      <c r="I325" s="349"/>
      <c r="J325" s="417"/>
      <c r="K325" s="417"/>
      <c r="L325" s="417"/>
      <c r="M325" s="417"/>
      <c r="N325" s="417"/>
      <c r="O325" s="417"/>
      <c r="P325" s="417"/>
      <c r="Q325" s="383">
        <f t="shared" si="39"/>
        <v>100</v>
      </c>
      <c r="R325" s="383"/>
      <c r="S325" s="432"/>
      <c r="T325" s="436"/>
      <c r="U325" s="432"/>
      <c r="V325" s="432"/>
      <c r="W325" s="432"/>
      <c r="X325" s="432"/>
      <c r="Y325" s="432"/>
      <c r="Z325" s="432"/>
      <c r="AA325" s="432"/>
      <c r="AB325" s="432"/>
      <c r="AC325" s="432"/>
      <c r="AD325" s="432"/>
      <c r="AE325" s="432"/>
      <c r="AF325" s="432"/>
      <c r="AG325" s="432"/>
      <c r="AH325" s="432"/>
      <c r="AI325" s="432"/>
      <c r="AJ325" s="432"/>
      <c r="AK325" s="432"/>
      <c r="AL325" s="432"/>
      <c r="AM325" s="432"/>
      <c r="AN325" s="432"/>
      <c r="AO325" s="432"/>
    </row>
    <row r="326" spans="1:41" ht="15.75" customHeight="1">
      <c r="A326" s="349" t="s">
        <v>892</v>
      </c>
      <c r="B326" s="378">
        <f>('Pivot Table for Data Exchange'!$M$259)*100</f>
        <v>67.982515747203152</v>
      </c>
      <c r="C326" s="378">
        <f>('Pivot Table for Data Exchange'!$M$262)*100</f>
        <v>5.6288260645028796</v>
      </c>
      <c r="D326" s="379">
        <f>SUM(E326:G326)</f>
        <v>26.376376527531562</v>
      </c>
      <c r="E326" s="378">
        <f>('Pivot Table for Data Exchange'!$M$265)*100</f>
        <v>25.961820142124992</v>
      </c>
      <c r="F326" s="378">
        <f>('Pivot Table for Data Exchange'!$M$268)*100</f>
        <v>0.41455638540656825</v>
      </c>
      <c r="G326" s="386">
        <f>('Pivot Table for Data Exchange'!$M$271)*100</f>
        <v>0</v>
      </c>
      <c r="H326" s="390">
        <f>('Pivot Table for Data Exchange'!$M$274)*100</f>
        <v>1.2281660762409261E-2</v>
      </c>
      <c r="I326" s="349"/>
      <c r="J326" s="417"/>
      <c r="K326" s="417"/>
      <c r="L326" s="417"/>
      <c r="M326" s="417"/>
      <c r="N326" s="417"/>
      <c r="O326" s="417"/>
      <c r="P326" s="417"/>
      <c r="Q326" s="383">
        <f t="shared" si="39"/>
        <v>100</v>
      </c>
      <c r="R326" s="383"/>
      <c r="S326" s="432"/>
      <c r="U326" s="432"/>
      <c r="V326" s="432"/>
      <c r="W326" s="432"/>
      <c r="X326" s="432"/>
      <c r="Y326" s="432"/>
      <c r="Z326" s="432"/>
      <c r="AA326" s="432"/>
      <c r="AB326" s="432"/>
      <c r="AC326" s="432"/>
      <c r="AD326" s="432"/>
      <c r="AE326" s="432"/>
      <c r="AF326" s="432"/>
      <c r="AG326" s="432"/>
      <c r="AH326" s="432"/>
      <c r="AI326" s="432"/>
      <c r="AJ326" s="432"/>
      <c r="AK326" s="432"/>
      <c r="AL326" s="432"/>
      <c r="AM326" s="432"/>
      <c r="AN326" s="432"/>
      <c r="AO326" s="432"/>
    </row>
    <row r="327" spans="1:41" ht="12" customHeight="1">
      <c r="B327" s="378"/>
      <c r="C327" s="378"/>
      <c r="D327" s="379"/>
      <c r="E327" s="378"/>
      <c r="F327" s="378"/>
      <c r="G327" s="386"/>
      <c r="H327" s="378"/>
      <c r="I327" s="349"/>
      <c r="J327" s="417"/>
      <c r="K327" s="417"/>
      <c r="L327" s="417"/>
      <c r="M327" s="417"/>
      <c r="N327" s="417"/>
      <c r="O327" s="417"/>
      <c r="P327" s="417"/>
      <c r="Q327" s="383">
        <f t="shared" si="39"/>
        <v>0</v>
      </c>
      <c r="R327" s="383"/>
      <c r="S327" s="432"/>
      <c r="U327" s="432"/>
      <c r="V327" s="432"/>
      <c r="W327" s="432"/>
      <c r="X327" s="432"/>
      <c r="Y327" s="432"/>
      <c r="Z327" s="432"/>
      <c r="AA327" s="432"/>
      <c r="AB327" s="432"/>
      <c r="AC327" s="432"/>
      <c r="AD327" s="432"/>
      <c r="AE327" s="432"/>
      <c r="AF327" s="432"/>
      <c r="AG327" s="432"/>
      <c r="AH327" s="432"/>
      <c r="AI327" s="432"/>
      <c r="AJ327" s="432"/>
      <c r="AK327" s="432"/>
      <c r="AL327" s="432"/>
      <c r="AM327" s="432"/>
      <c r="AN327" s="432"/>
      <c r="AO327" s="432"/>
    </row>
    <row r="328" spans="1:41" ht="15.75" customHeight="1">
      <c r="A328" s="349" t="s">
        <v>940</v>
      </c>
      <c r="B328" s="378">
        <f>('Pivot Table for Data Exchange'!$M$295)*100</f>
        <v>72.541588311876168</v>
      </c>
      <c r="C328" s="378">
        <f>('Pivot Table for Data Exchange'!$M$298)*100</f>
        <v>2.8266901621451019</v>
      </c>
      <c r="D328" s="379">
        <f>SUM(E328:G328)</f>
        <v>24.631721525978723</v>
      </c>
      <c r="E328" s="378">
        <f>('Pivot Table for Data Exchange'!$M$301)*100</f>
        <v>24.631721525978723</v>
      </c>
      <c r="F328" s="378">
        <f>('Pivot Table for Data Exchange'!$M$304)*100</f>
        <v>0</v>
      </c>
      <c r="G328" s="386">
        <f>('Pivot Table for Data Exchange'!$M$307)*100</f>
        <v>0</v>
      </c>
      <c r="H328" s="378">
        <f>('Pivot Table for Data Exchange'!$M$310)*100</f>
        <v>0</v>
      </c>
      <c r="I328" s="424"/>
      <c r="J328" s="417"/>
      <c r="K328" s="417"/>
      <c r="L328" s="417"/>
      <c r="M328" s="417"/>
      <c r="N328" s="417"/>
      <c r="O328" s="417"/>
      <c r="P328" s="417"/>
      <c r="Q328" s="383">
        <f t="shared" si="39"/>
        <v>99.999999999999986</v>
      </c>
      <c r="R328" s="383"/>
      <c r="S328" s="432"/>
      <c r="T328" s="432"/>
      <c r="U328" s="432"/>
      <c r="V328" s="432"/>
      <c r="W328" s="432"/>
      <c r="X328" s="432"/>
      <c r="Y328" s="432"/>
      <c r="Z328" s="432"/>
      <c r="AA328" s="432"/>
      <c r="AB328" s="432"/>
      <c r="AC328" s="432"/>
      <c r="AD328" s="432"/>
      <c r="AE328" s="432"/>
      <c r="AF328" s="432"/>
      <c r="AG328" s="432"/>
      <c r="AH328" s="432"/>
      <c r="AI328" s="432"/>
      <c r="AJ328" s="432"/>
      <c r="AK328" s="432"/>
      <c r="AL328" s="432"/>
      <c r="AM328" s="432"/>
      <c r="AN328" s="432"/>
      <c r="AO328" s="432"/>
    </row>
    <row r="329" spans="1:41" ht="15.75" customHeight="1">
      <c r="A329" s="349" t="s">
        <v>894</v>
      </c>
      <c r="B329" s="378">
        <f>('Pivot Table for Data Exchange'!$M$331)*100</f>
        <v>32.531191711452827</v>
      </c>
      <c r="C329" s="378">
        <f>('Pivot Table for Data Exchange'!$M$334)*100</f>
        <v>2.690641200055381</v>
      </c>
      <c r="D329" s="379">
        <f>SUM(E329:G329)</f>
        <v>64.778167088491799</v>
      </c>
      <c r="E329" s="378">
        <f>('Pivot Table for Data Exchange'!$M$337)*100</f>
        <v>64.003893016381141</v>
      </c>
      <c r="F329" s="378">
        <f>('Pivot Table for Data Exchange'!$M$340)*100</f>
        <v>0.77427407211065447</v>
      </c>
      <c r="G329" s="385">
        <f>('Pivot Table for Data Exchange'!$M$343)*100</f>
        <v>0</v>
      </c>
      <c r="H329" s="378">
        <f>('Pivot Table for Data Exchange'!$M$346)*100</f>
        <v>0</v>
      </c>
      <c r="I329" s="349"/>
      <c r="J329" s="417"/>
      <c r="K329" s="417"/>
      <c r="L329" s="417"/>
      <c r="M329" s="417"/>
      <c r="N329" s="417"/>
      <c r="O329" s="417"/>
      <c r="P329" s="417"/>
      <c r="Q329" s="383">
        <f t="shared" si="39"/>
        <v>100</v>
      </c>
      <c r="R329" s="383"/>
      <c r="S329" s="432"/>
      <c r="T329" s="432"/>
      <c r="U329" s="432"/>
      <c r="V329" s="432"/>
      <c r="W329" s="432"/>
      <c r="X329" s="432"/>
      <c r="Y329" s="432"/>
      <c r="Z329" s="432"/>
      <c r="AA329" s="432"/>
      <c r="AB329" s="432"/>
      <c r="AC329" s="432"/>
      <c r="AD329" s="432"/>
      <c r="AE329" s="432"/>
      <c r="AF329" s="432"/>
      <c r="AG329" s="432"/>
      <c r="AH329" s="432"/>
      <c r="AI329" s="432"/>
      <c r="AJ329" s="432"/>
      <c r="AK329" s="432"/>
      <c r="AL329" s="432"/>
      <c r="AM329" s="432"/>
      <c r="AN329" s="432"/>
      <c r="AO329" s="432"/>
    </row>
    <row r="330" spans="1:41" ht="15.75" customHeight="1">
      <c r="A330" s="349" t="s">
        <v>895</v>
      </c>
      <c r="B330" s="378">
        <f>('Pivot Table for Data Exchange'!$M$367)*100</f>
        <v>70.107900296925806</v>
      </c>
      <c r="C330" s="378">
        <f>('Pivot Table for Data Exchange'!$M$370)*100</f>
        <v>0.3773922291081403</v>
      </c>
      <c r="D330" s="379">
        <f>SUM(E330:G330)</f>
        <v>29.514707473966055</v>
      </c>
      <c r="E330" s="378">
        <f>('Pivot Table for Data Exchange'!$M$373)*100</f>
        <v>23.258090169450053</v>
      </c>
      <c r="F330" s="378">
        <f>('Pivot Table for Data Exchange'!$M$376)*100</f>
        <v>6.2566173045160021</v>
      </c>
      <c r="G330" s="385">
        <f>('Pivot Table for Data Exchange'!$M$379)*100</f>
        <v>0</v>
      </c>
      <c r="H330" s="378">
        <f>('Pivot Table for Data Exchange'!$M$382)*100</f>
        <v>0</v>
      </c>
      <c r="I330" s="349"/>
      <c r="J330" s="417"/>
      <c r="K330" s="417"/>
      <c r="L330" s="417"/>
      <c r="M330" s="417"/>
      <c r="N330" s="417"/>
      <c r="O330" s="417"/>
      <c r="P330" s="417"/>
      <c r="Q330" s="383">
        <f t="shared" si="39"/>
        <v>100</v>
      </c>
      <c r="R330" s="383"/>
      <c r="S330" s="432"/>
      <c r="T330" s="436"/>
      <c r="U330" s="432"/>
      <c r="V330" s="432"/>
      <c r="W330" s="432"/>
      <c r="X330" s="432"/>
      <c r="Y330" s="432"/>
      <c r="Z330" s="432"/>
      <c r="AA330" s="432"/>
      <c r="AB330" s="432"/>
      <c r="AC330" s="432"/>
      <c r="AD330" s="432"/>
      <c r="AE330" s="432"/>
      <c r="AF330" s="432"/>
      <c r="AG330" s="432"/>
      <c r="AH330" s="432"/>
      <c r="AI330" s="432"/>
      <c r="AJ330" s="432"/>
      <c r="AK330" s="432"/>
      <c r="AL330" s="432"/>
      <c r="AM330" s="432"/>
      <c r="AN330" s="432"/>
      <c r="AO330" s="432"/>
    </row>
    <row r="331" spans="1:41" ht="15.75" customHeight="1">
      <c r="A331" s="349" t="s">
        <v>896</v>
      </c>
      <c r="B331" s="378">
        <f>('Pivot Table for Data Exchange'!$M$403)*100</f>
        <v>53.078725977288642</v>
      </c>
      <c r="C331" s="378">
        <f>('Pivot Table for Data Exchange'!$M$406)*100</f>
        <v>9.6762901033730078</v>
      </c>
      <c r="D331" s="379">
        <f>SUM(E331:G331)</f>
        <v>37.244983919338353</v>
      </c>
      <c r="E331" s="378">
        <f>('Pivot Table for Data Exchange'!$M$409)*100</f>
        <v>34.501911333590421</v>
      </c>
      <c r="F331" s="378">
        <f>('Pivot Table for Data Exchange'!$M$412)*100</f>
        <v>2.7430725857479286</v>
      </c>
      <c r="G331" s="388">
        <f>('Pivot Table for Data Exchange'!$M$415)*100</f>
        <v>0</v>
      </c>
      <c r="H331" s="378">
        <f>('Pivot Table for Data Exchange'!$M$418)*100</f>
        <v>0</v>
      </c>
      <c r="I331" s="349"/>
      <c r="J331" s="417"/>
      <c r="K331" s="417"/>
      <c r="L331" s="417"/>
      <c r="M331" s="417"/>
      <c r="N331" s="417"/>
      <c r="O331" s="417"/>
      <c r="P331" s="417"/>
      <c r="Q331" s="383">
        <f t="shared" si="39"/>
        <v>100</v>
      </c>
      <c r="R331" s="383"/>
      <c r="S331" s="432"/>
      <c r="T331" s="432"/>
      <c r="U331" s="432"/>
      <c r="V331" s="432"/>
      <c r="W331" s="432"/>
      <c r="X331" s="432"/>
      <c r="Y331" s="432"/>
      <c r="Z331" s="432"/>
      <c r="AA331" s="432"/>
      <c r="AB331" s="432"/>
      <c r="AC331" s="432"/>
      <c r="AD331" s="432"/>
      <c r="AE331" s="432"/>
      <c r="AF331" s="432"/>
      <c r="AG331" s="432"/>
      <c r="AH331" s="432"/>
      <c r="AI331" s="432"/>
      <c r="AJ331" s="432"/>
      <c r="AK331" s="432"/>
      <c r="AL331" s="432"/>
      <c r="AM331" s="432"/>
      <c r="AN331" s="432"/>
      <c r="AO331" s="432"/>
    </row>
    <row r="332" spans="1:41" ht="12.75" customHeight="1">
      <c r="B332" s="378"/>
      <c r="C332" s="378"/>
      <c r="D332" s="379"/>
      <c r="E332" s="378"/>
      <c r="F332" s="378"/>
      <c r="G332" s="386"/>
      <c r="H332" s="378"/>
      <c r="I332" s="349"/>
      <c r="J332" s="417"/>
      <c r="K332" s="417"/>
      <c r="L332" s="417"/>
      <c r="M332" s="417"/>
      <c r="N332" s="417"/>
      <c r="O332" s="417"/>
      <c r="P332" s="417"/>
      <c r="Q332" s="383">
        <f t="shared" si="39"/>
        <v>0</v>
      </c>
      <c r="R332" s="383"/>
      <c r="S332" s="432"/>
      <c r="T332" s="432"/>
      <c r="U332" s="432"/>
      <c r="V332" s="432"/>
      <c r="W332" s="432"/>
      <c r="X332" s="432"/>
      <c r="Y332" s="432"/>
      <c r="Z332" s="432"/>
      <c r="AA332" s="432"/>
      <c r="AB332" s="432"/>
      <c r="AC332" s="432"/>
      <c r="AD332" s="432"/>
      <c r="AE332" s="432"/>
      <c r="AF332" s="432"/>
      <c r="AG332" s="432"/>
      <c r="AH332" s="432"/>
      <c r="AI332" s="432"/>
      <c r="AJ332" s="432"/>
      <c r="AK332" s="432"/>
      <c r="AL332" s="432"/>
      <c r="AM332" s="432"/>
      <c r="AN332" s="432"/>
      <c r="AO332" s="432"/>
    </row>
    <row r="333" spans="1:41" ht="15.75" customHeight="1">
      <c r="A333" s="349" t="s">
        <v>897</v>
      </c>
      <c r="B333" s="378">
        <f>('Pivot Table for Data Exchange'!$M$439)*100</f>
        <v>35.478563286858773</v>
      </c>
      <c r="C333" s="378">
        <f>('Pivot Table for Data Exchange'!$M$442)*100</f>
        <v>36.921321238291569</v>
      </c>
      <c r="D333" s="379">
        <f>SUM(E333:G333)</f>
        <v>27.423243786111303</v>
      </c>
      <c r="E333" s="378">
        <f>('Pivot Table for Data Exchange'!$M$445)*100</f>
        <v>18.914563519977012</v>
      </c>
      <c r="F333" s="378">
        <f>('Pivot Table for Data Exchange'!$M$448)*100</f>
        <v>3.3318289074750993</v>
      </c>
      <c r="G333" s="386">
        <f>('Pivot Table for Data Exchange'!$M$451)*100</f>
        <v>5.1768513586591913</v>
      </c>
      <c r="H333" s="378">
        <f>('Pivot Table for Data Exchange'!$M$454)*100</f>
        <v>0.17687168873835596</v>
      </c>
      <c r="I333" s="349"/>
      <c r="J333" s="417"/>
      <c r="K333" s="417"/>
      <c r="L333" s="417"/>
      <c r="M333" s="417"/>
      <c r="N333" s="417"/>
      <c r="O333" s="417"/>
      <c r="P333" s="417"/>
      <c r="Q333" s="383">
        <f t="shared" si="39"/>
        <v>100</v>
      </c>
      <c r="R333" s="383"/>
      <c r="S333" s="432"/>
      <c r="T333" s="432"/>
      <c r="U333" s="432"/>
      <c r="V333" s="432"/>
      <c r="W333" s="432"/>
      <c r="X333" s="432"/>
      <c r="Y333" s="432"/>
      <c r="Z333" s="432"/>
      <c r="AA333" s="432"/>
      <c r="AB333" s="432"/>
      <c r="AC333" s="432"/>
      <c r="AD333" s="432"/>
      <c r="AE333" s="432"/>
      <c r="AF333" s="432"/>
      <c r="AG333" s="432"/>
      <c r="AH333" s="432"/>
      <c r="AI333" s="432"/>
      <c r="AJ333" s="432"/>
      <c r="AK333" s="432"/>
      <c r="AL333" s="432"/>
      <c r="AM333" s="432"/>
      <c r="AN333" s="432"/>
      <c r="AO333" s="432"/>
    </row>
    <row r="334" spans="1:41" ht="15.75" customHeight="1">
      <c r="A334" s="349" t="s">
        <v>898</v>
      </c>
      <c r="B334" s="378">
        <f>('Pivot Table for Data Exchange'!$M$475)*100</f>
        <v>49.195360480654138</v>
      </c>
      <c r="C334" s="378">
        <f>('Pivot Table for Data Exchange'!$M$478)*100</f>
        <v>21.850593274615555</v>
      </c>
      <c r="D334" s="379">
        <f>SUM(E334:G334)</f>
        <v>28.954046244730304</v>
      </c>
      <c r="E334" s="378">
        <f>('Pivot Table for Data Exchange'!$M$481)*100</f>
        <v>26.755811440214977</v>
      </c>
      <c r="F334" s="378">
        <f>('Pivot Table for Data Exchange'!$M$484)*100</f>
        <v>1.9436415983644892</v>
      </c>
      <c r="G334" s="386">
        <f>('Pivot Table for Data Exchange'!$M$487)*100</f>
        <v>0.25459320615083814</v>
      </c>
      <c r="H334" s="378">
        <f>('Pivot Table for Data Exchange'!$M$490)*100</f>
        <v>0</v>
      </c>
      <c r="I334" s="349"/>
      <c r="J334" s="417"/>
      <c r="K334" s="417"/>
      <c r="L334" s="417"/>
      <c r="M334" s="417"/>
      <c r="N334" s="417"/>
      <c r="O334" s="417"/>
      <c r="P334" s="417"/>
      <c r="Q334" s="383">
        <f t="shared" si="39"/>
        <v>100</v>
      </c>
      <c r="R334" s="383"/>
      <c r="S334" s="432"/>
      <c r="T334" s="432"/>
      <c r="U334" s="432"/>
      <c r="V334" s="432"/>
      <c r="W334" s="432"/>
      <c r="X334" s="432"/>
      <c r="Y334" s="432"/>
      <c r="Z334" s="432"/>
      <c r="AA334" s="432"/>
      <c r="AB334" s="432"/>
      <c r="AC334" s="432"/>
      <c r="AD334" s="432"/>
      <c r="AE334" s="432"/>
      <c r="AF334" s="432"/>
      <c r="AG334" s="432"/>
      <c r="AH334" s="432"/>
      <c r="AI334" s="432"/>
      <c r="AJ334" s="432"/>
      <c r="AK334" s="432"/>
      <c r="AL334" s="432"/>
      <c r="AM334" s="432"/>
      <c r="AN334" s="432"/>
      <c r="AO334" s="432"/>
    </row>
    <row r="335" spans="1:41" ht="15.75" customHeight="1">
      <c r="A335" s="349" t="s">
        <v>899</v>
      </c>
      <c r="B335" s="378">
        <f>('Pivot Table for Data Exchange'!$M$511)*100</f>
        <v>44.910880645129495</v>
      </c>
      <c r="C335" s="378">
        <f>('Pivot Table for Data Exchange'!$M$514)*100</f>
        <v>24.836474856314759</v>
      </c>
      <c r="D335" s="379">
        <f>SUM(E335:G335)</f>
        <v>30.252644498555753</v>
      </c>
      <c r="E335" s="378">
        <f>('Pivot Table for Data Exchange'!$M$517)*100</f>
        <v>25.792240503958119</v>
      </c>
      <c r="F335" s="378">
        <f>('Pivot Table for Data Exchange'!$M$520)*100</f>
        <v>4.4604039945976321</v>
      </c>
      <c r="G335" s="386">
        <f>('Pivot Table for Data Exchange'!$M$523)*100</f>
        <v>0</v>
      </c>
      <c r="H335" s="378">
        <f>('Pivot Table for Data Exchange'!$M$526)*100</f>
        <v>0</v>
      </c>
      <c r="I335" s="349"/>
      <c r="J335" s="417"/>
      <c r="K335" s="417"/>
      <c r="L335" s="417"/>
      <c r="M335" s="417"/>
      <c r="N335" s="417"/>
      <c r="O335" s="417"/>
      <c r="P335" s="417"/>
      <c r="Q335" s="383">
        <f t="shared" si="39"/>
        <v>100</v>
      </c>
      <c r="R335" s="383"/>
      <c r="S335" s="432"/>
      <c r="T335" s="432"/>
      <c r="U335" s="432"/>
      <c r="V335" s="432"/>
      <c r="W335" s="432"/>
      <c r="X335" s="432"/>
      <c r="Y335" s="432"/>
      <c r="Z335" s="432"/>
      <c r="AA335" s="432"/>
      <c r="AB335" s="432"/>
      <c r="AC335" s="432"/>
      <c r="AD335" s="432"/>
      <c r="AE335" s="432"/>
      <c r="AF335" s="432"/>
      <c r="AG335" s="432"/>
      <c r="AH335" s="432"/>
      <c r="AI335" s="432"/>
      <c r="AJ335" s="432"/>
      <c r="AK335" s="432"/>
      <c r="AL335" s="432"/>
      <c r="AM335" s="432"/>
      <c r="AN335" s="432"/>
      <c r="AO335" s="432"/>
    </row>
    <row r="336" spans="1:41" ht="15.75" customHeight="1">
      <c r="A336" s="355" t="s">
        <v>900</v>
      </c>
      <c r="B336" s="391">
        <f>('Pivot Table for Data Exchange'!$M$547)*100</f>
        <v>0</v>
      </c>
      <c r="C336" s="391">
        <f>('Pivot Table for Data Exchange'!$M$550)*100</f>
        <v>0</v>
      </c>
      <c r="D336" s="392">
        <f>SUM(E336:G336)</f>
        <v>0</v>
      </c>
      <c r="E336" s="391">
        <f>('Pivot Table for Data Exchange'!$M$553)*100</f>
        <v>0</v>
      </c>
      <c r="F336" s="391">
        <f>('Pivot Table for Data Exchange'!$M$556)*100</f>
        <v>0</v>
      </c>
      <c r="G336" s="414">
        <f>('Pivot Table for Data Exchange'!$M$559)*100</f>
        <v>0</v>
      </c>
      <c r="H336" s="391">
        <f>('Pivot Table for Data Exchange'!$M$562)*100</f>
        <v>0</v>
      </c>
      <c r="I336" s="349"/>
      <c r="J336" s="417"/>
      <c r="K336" s="417"/>
      <c r="L336" s="417"/>
      <c r="M336" s="417"/>
      <c r="N336" s="417"/>
      <c r="O336" s="417"/>
      <c r="P336" s="417"/>
      <c r="Q336" s="383">
        <f t="shared" si="39"/>
        <v>0</v>
      </c>
      <c r="R336" s="383"/>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row>
    <row r="337" spans="1:41" s="422" customFormat="1" ht="12" customHeight="1">
      <c r="A337" s="397" t="s">
        <v>926</v>
      </c>
      <c r="B337" s="398"/>
      <c r="C337" s="398"/>
      <c r="D337" s="399"/>
      <c r="E337" s="398"/>
      <c r="F337" s="399"/>
      <c r="G337" s="399"/>
      <c r="H337" s="398"/>
      <c r="I337" s="407"/>
      <c r="J337" s="398"/>
      <c r="K337" s="398"/>
      <c r="L337" s="399"/>
      <c r="M337" s="398"/>
      <c r="N337" s="399"/>
      <c r="O337" s="399"/>
      <c r="P337" s="398"/>
      <c r="Q337" s="383">
        <f t="shared" si="39"/>
        <v>0</v>
      </c>
      <c r="R337" s="418"/>
      <c r="S337" s="435"/>
      <c r="T337" s="435"/>
      <c r="U337" s="435"/>
      <c r="V337" s="435"/>
      <c r="W337" s="435"/>
      <c r="X337" s="435"/>
      <c r="Y337" s="435"/>
      <c r="Z337" s="435"/>
      <c r="AA337" s="435"/>
      <c r="AB337" s="435"/>
      <c r="AC337" s="435"/>
      <c r="AD337" s="435"/>
      <c r="AE337" s="435"/>
      <c r="AF337" s="435"/>
      <c r="AG337" s="435"/>
      <c r="AH337" s="435"/>
      <c r="AI337" s="435"/>
      <c r="AJ337" s="435"/>
      <c r="AK337" s="435"/>
      <c r="AL337" s="435"/>
      <c r="AM337" s="435"/>
      <c r="AN337" s="435"/>
      <c r="AO337" s="435"/>
    </row>
    <row r="338" spans="1:41" s="422" customFormat="1" ht="24" customHeight="1">
      <c r="A338" s="501" t="s">
        <v>941</v>
      </c>
      <c r="B338" s="502"/>
      <c r="C338" s="502"/>
      <c r="D338" s="502"/>
      <c r="E338" s="502"/>
      <c r="F338" s="502"/>
      <c r="G338" s="502"/>
      <c r="H338" s="502"/>
      <c r="I338" s="407"/>
      <c r="J338" s="396"/>
      <c r="K338" s="396"/>
      <c r="L338" s="396"/>
      <c r="M338" s="396"/>
      <c r="N338" s="396"/>
      <c r="O338" s="396"/>
      <c r="P338" s="409"/>
      <c r="Q338" s="383">
        <f t="shared" si="39"/>
        <v>0</v>
      </c>
      <c r="R338" s="419"/>
    </row>
    <row r="339" spans="1:41" s="422" customFormat="1" ht="11.25" customHeight="1">
      <c r="A339" s="395"/>
      <c r="B339" s="437"/>
      <c r="C339" s="437"/>
      <c r="D339" s="437"/>
      <c r="E339" s="437"/>
      <c r="F339" s="437"/>
      <c r="G339" s="437"/>
      <c r="H339" s="437"/>
      <c r="I339" s="407"/>
      <c r="J339" s="396"/>
      <c r="K339" s="396"/>
      <c r="L339" s="396"/>
      <c r="M339" s="396"/>
      <c r="N339" s="396"/>
      <c r="O339" s="396"/>
      <c r="P339" s="409"/>
      <c r="Q339" s="383"/>
      <c r="R339" s="419"/>
    </row>
    <row r="340" spans="1:41" s="422" customFormat="1">
      <c r="A340" s="396"/>
      <c r="B340" s="396"/>
      <c r="C340" s="396"/>
      <c r="D340" s="396"/>
      <c r="E340" s="396"/>
      <c r="F340" s="396"/>
      <c r="G340" s="396"/>
      <c r="H340" s="402" t="s">
        <v>1007</v>
      </c>
      <c r="I340" s="396"/>
      <c r="J340" s="396"/>
      <c r="K340" s="396"/>
      <c r="L340" s="396"/>
      <c r="M340" s="396"/>
      <c r="N340" s="396"/>
      <c r="O340" s="396"/>
      <c r="P340" s="396"/>
      <c r="Q340" s="383">
        <f t="shared" si="39"/>
        <v>0</v>
      </c>
    </row>
    <row r="341" spans="1:41" ht="18">
      <c r="A341" s="344" t="s">
        <v>946</v>
      </c>
      <c r="B341" s="345"/>
      <c r="C341" s="345"/>
      <c r="D341" s="345"/>
      <c r="E341" s="345"/>
      <c r="F341" s="345"/>
      <c r="G341" s="345"/>
      <c r="H341" s="345"/>
      <c r="L341" s="345"/>
      <c r="Q341" s="383">
        <f t="shared" si="39"/>
        <v>0</v>
      </c>
    </row>
    <row r="342" spans="1:41">
      <c r="A342" s="350"/>
      <c r="B342" s="346"/>
      <c r="C342" s="346"/>
      <c r="D342" s="346"/>
      <c r="E342" s="346"/>
      <c r="F342" s="346"/>
      <c r="G342" s="346"/>
      <c r="H342" s="346"/>
      <c r="Q342" s="383">
        <f t="shared" si="39"/>
        <v>0</v>
      </c>
    </row>
    <row r="343" spans="1:41" ht="15.75">
      <c r="A343" s="352" t="s">
        <v>906</v>
      </c>
      <c r="B343" s="346"/>
      <c r="C343" s="346"/>
      <c r="D343" s="346"/>
      <c r="E343" s="346"/>
      <c r="F343" s="346"/>
      <c r="G343" s="346"/>
      <c r="H343" s="346"/>
      <c r="L343" s="346"/>
      <c r="Q343" s="383">
        <f t="shared" si="39"/>
        <v>0</v>
      </c>
    </row>
    <row r="344" spans="1:41" ht="15.75">
      <c r="A344" s="352" t="s">
        <v>977</v>
      </c>
      <c r="B344" s="346"/>
      <c r="C344" s="346"/>
      <c r="D344" s="346"/>
      <c r="E344" s="346"/>
      <c r="F344" s="346"/>
      <c r="G344" s="346"/>
      <c r="H344" s="346"/>
      <c r="Q344" s="383">
        <f t="shared" si="39"/>
        <v>0</v>
      </c>
    </row>
    <row r="345" spans="1:41">
      <c r="A345" s="355"/>
      <c r="B345" s="356"/>
      <c r="C345" s="356"/>
      <c r="D345" s="356"/>
      <c r="E345" s="356"/>
      <c r="F345" s="356"/>
      <c r="G345" s="356"/>
      <c r="H345" s="356"/>
      <c r="Q345" s="383">
        <f t="shared" si="39"/>
        <v>0</v>
      </c>
    </row>
    <row r="346" spans="1:41">
      <c r="A346" s="360"/>
      <c r="B346" s="361" t="s">
        <v>908</v>
      </c>
      <c r="C346" s="361"/>
      <c r="D346" s="361"/>
      <c r="E346" s="361"/>
      <c r="F346" s="361"/>
      <c r="G346" s="361"/>
      <c r="H346" s="362"/>
      <c r="Q346" s="383">
        <f t="shared" si="39"/>
        <v>0</v>
      </c>
    </row>
    <row r="347" spans="1:41">
      <c r="A347" s="360"/>
      <c r="B347" s="361" t="s">
        <v>909</v>
      </c>
      <c r="C347" s="361"/>
      <c r="D347" s="506" t="s">
        <v>910</v>
      </c>
      <c r="E347" s="504"/>
      <c r="F347" s="504"/>
      <c r="G347" s="504"/>
      <c r="H347" s="368" t="s">
        <v>800</v>
      </c>
      <c r="Q347" s="383">
        <f t="shared" ref="Q347:Q410" si="44">SUM(B347,C347,D347,H347)</f>
        <v>0</v>
      </c>
    </row>
    <row r="348" spans="1:41" ht="36">
      <c r="A348" s="360"/>
      <c r="B348" s="369" t="s">
        <v>911</v>
      </c>
      <c r="C348" s="370" t="s">
        <v>912</v>
      </c>
      <c r="D348" s="371" t="s">
        <v>913</v>
      </c>
      <c r="E348" s="372" t="s">
        <v>10</v>
      </c>
      <c r="F348" s="369" t="s">
        <v>914</v>
      </c>
      <c r="G348" s="373" t="s">
        <v>924</v>
      </c>
      <c r="H348" s="374" t="s">
        <v>916</v>
      </c>
      <c r="Q348" s="383">
        <f t="shared" si="44"/>
        <v>0</v>
      </c>
    </row>
    <row r="349" spans="1:41" ht="15.75" customHeight="1">
      <c r="A349" s="404" t="s">
        <v>885</v>
      </c>
      <c r="B349" s="431">
        <f>('Pivot Table for Data Exchange'!$N$7)*100</f>
        <v>60.323708002407791</v>
      </c>
      <c r="C349" s="378">
        <f>('Pivot Table for Data Exchange'!$N$10)*100</f>
        <v>5.1919514233450803</v>
      </c>
      <c r="D349" s="379">
        <f>SUM(E349:G349)</f>
        <v>34.484340574247128</v>
      </c>
      <c r="E349" s="378">
        <f>('Pivot Table for Data Exchange'!$N$13)*100</f>
        <v>34.334437879505117</v>
      </c>
      <c r="F349" s="378">
        <f>('Pivot Table for Data Exchange'!$N$16)*100</f>
        <v>0</v>
      </c>
      <c r="G349" s="382">
        <f>('Pivot Table for Data Exchange'!$N$19)*100</f>
        <v>0.14990269474200957</v>
      </c>
      <c r="H349" s="378">
        <f>('Pivot Table for Data Exchange'!$N$22)*100</f>
        <v>0</v>
      </c>
      <c r="I349" s="349"/>
      <c r="J349" s="417"/>
      <c r="K349" s="417"/>
      <c r="L349" s="417"/>
      <c r="M349" s="417"/>
      <c r="N349" s="417"/>
      <c r="O349" s="417"/>
      <c r="P349" s="417"/>
      <c r="Q349" s="383">
        <f t="shared" si="44"/>
        <v>100</v>
      </c>
      <c r="R349" s="383"/>
      <c r="S349" s="432"/>
      <c r="T349" s="432"/>
      <c r="U349" s="432"/>
      <c r="V349" s="432"/>
      <c r="W349" s="432"/>
      <c r="X349" s="432"/>
      <c r="Y349" s="432"/>
      <c r="Z349" s="432"/>
      <c r="AA349" s="432"/>
      <c r="AB349" s="432"/>
      <c r="AC349" s="432"/>
      <c r="AD349" s="432"/>
      <c r="AE349" s="432"/>
      <c r="AF349" s="432"/>
      <c r="AG349" s="432"/>
      <c r="AH349" s="432"/>
      <c r="AI349" s="432"/>
      <c r="AJ349" s="432"/>
      <c r="AK349" s="432"/>
      <c r="AL349" s="432"/>
      <c r="AM349" s="432"/>
      <c r="AN349" s="432"/>
      <c r="AO349" s="432"/>
    </row>
    <row r="350" spans="1:41" ht="15.75" customHeight="1">
      <c r="A350" s="349" t="s">
        <v>886</v>
      </c>
      <c r="B350" s="378">
        <f>('Pivot Table for Data Exchange'!$N$43)*100</f>
        <v>63.417897936717935</v>
      </c>
      <c r="C350" s="378">
        <f>('Pivot Table for Data Exchange'!$N$46)*100</f>
        <v>10.668875041659513</v>
      </c>
      <c r="D350" s="379">
        <f t="shared" ref="D350:D352" si="45">SUM(E350:G350)</f>
        <v>25.913227021622554</v>
      </c>
      <c r="E350" s="378">
        <f>('Pivot Table for Data Exchange'!$N$49)*100</f>
        <v>24.227489555665528</v>
      </c>
      <c r="F350" s="378">
        <f>('Pivot Table for Data Exchange'!$N$52)*100</f>
        <v>1.6857374659570243</v>
      </c>
      <c r="G350" s="385">
        <f>('Pivot Table for Data Exchange'!$N$55)*100</f>
        <v>0</v>
      </c>
      <c r="H350" s="387">
        <f>('Pivot Table for Data Exchange'!$N$58)*100</f>
        <v>0</v>
      </c>
      <c r="I350" s="349"/>
      <c r="J350" s="417"/>
      <c r="K350" s="417"/>
      <c r="L350" s="417"/>
      <c r="M350" s="417"/>
      <c r="N350" s="417"/>
      <c r="O350" s="417"/>
      <c r="P350" s="417"/>
      <c r="Q350" s="383">
        <f t="shared" si="44"/>
        <v>100</v>
      </c>
      <c r="R350" s="383"/>
      <c r="S350" s="432"/>
      <c r="T350" s="432"/>
      <c r="U350" s="432"/>
      <c r="V350" s="432"/>
      <c r="W350" s="432"/>
      <c r="X350" s="432"/>
      <c r="Y350" s="432"/>
      <c r="Z350" s="432"/>
      <c r="AA350" s="432"/>
      <c r="AB350" s="432"/>
      <c r="AC350" s="432"/>
      <c r="AD350" s="432"/>
      <c r="AE350" s="432"/>
      <c r="AF350" s="432"/>
      <c r="AG350" s="432"/>
      <c r="AH350" s="432"/>
      <c r="AI350" s="432"/>
      <c r="AJ350" s="432"/>
      <c r="AK350" s="432"/>
      <c r="AL350" s="432"/>
      <c r="AM350" s="432"/>
      <c r="AN350" s="432"/>
      <c r="AO350" s="432"/>
    </row>
    <row r="351" spans="1:41" ht="15.75" customHeight="1">
      <c r="A351" s="349" t="s">
        <v>887</v>
      </c>
      <c r="B351" s="378">
        <f>('Pivot Table for Data Exchange'!$N$79)*100</f>
        <v>0</v>
      </c>
      <c r="C351" s="378">
        <f>('Pivot Table for Data Exchange'!$N$82)*100</f>
        <v>0</v>
      </c>
      <c r="D351" s="379">
        <f t="shared" si="45"/>
        <v>0</v>
      </c>
      <c r="E351" s="378">
        <f>('Pivot Table for Data Exchange'!$N$85)*100</f>
        <v>0</v>
      </c>
      <c r="F351" s="378">
        <f>('Pivot Table for Data Exchange'!$N$88)*100</f>
        <v>0</v>
      </c>
      <c r="G351" s="386">
        <f>('Pivot Table for Data Exchange'!$N$91)*100</f>
        <v>0</v>
      </c>
      <c r="H351" s="378">
        <f>('Pivot Table for Data Exchange'!$N$94)*100</f>
        <v>0</v>
      </c>
      <c r="I351" s="349"/>
      <c r="J351" s="417"/>
      <c r="K351" s="417"/>
      <c r="L351" s="417"/>
      <c r="M351" s="417"/>
      <c r="N351" s="417"/>
      <c r="O351" s="417"/>
      <c r="P351" s="417"/>
      <c r="Q351" s="383">
        <f t="shared" si="44"/>
        <v>0</v>
      </c>
      <c r="R351" s="383"/>
      <c r="S351" s="432"/>
      <c r="T351" s="436"/>
      <c r="U351" s="432"/>
      <c r="V351" s="432"/>
      <c r="W351" s="432"/>
      <c r="X351" s="432"/>
      <c r="Y351" s="432"/>
      <c r="Z351" s="432"/>
      <c r="AA351" s="432"/>
      <c r="AB351" s="432"/>
      <c r="AC351" s="432"/>
      <c r="AD351" s="432"/>
      <c r="AE351" s="432"/>
      <c r="AF351" s="432"/>
      <c r="AG351" s="432"/>
      <c r="AH351" s="432"/>
      <c r="AI351" s="432"/>
      <c r="AJ351" s="432"/>
      <c r="AK351" s="432"/>
      <c r="AL351" s="432"/>
      <c r="AM351" s="432"/>
      <c r="AN351" s="432"/>
      <c r="AO351" s="432"/>
    </row>
    <row r="352" spans="1:41" ht="15.75" customHeight="1">
      <c r="A352" s="349" t="s">
        <v>925</v>
      </c>
      <c r="B352" s="378">
        <f>('Pivot Table for Data Exchange'!$N$115)*100</f>
        <v>67.652482269503551</v>
      </c>
      <c r="C352" s="378">
        <f>('Pivot Table for Data Exchange'!$N$118)*100</f>
        <v>3.3427895981087468</v>
      </c>
      <c r="D352" s="379">
        <f t="shared" si="45"/>
        <v>29.004728132387708</v>
      </c>
      <c r="E352" s="378">
        <f>('Pivot Table for Data Exchange'!$N$121)*100</f>
        <v>29.004728132387708</v>
      </c>
      <c r="F352" s="378">
        <f>('Pivot Table for Data Exchange'!$N$124)*100</f>
        <v>0</v>
      </c>
      <c r="G352" s="386">
        <f>('Pivot Table for Data Exchange'!$N$127)*100</f>
        <v>0</v>
      </c>
      <c r="H352" s="378">
        <f>('Pivot Table for Data Exchange'!$N$130)*100</f>
        <v>0</v>
      </c>
      <c r="I352" s="349"/>
      <c r="J352" s="417"/>
      <c r="K352" s="417"/>
      <c r="L352" s="417"/>
      <c r="M352" s="417"/>
      <c r="N352" s="417"/>
      <c r="O352" s="417"/>
      <c r="P352" s="417"/>
      <c r="Q352" s="383">
        <f t="shared" si="44"/>
        <v>100.00000000000001</v>
      </c>
      <c r="R352" s="383"/>
      <c r="S352" s="432"/>
      <c r="U352" s="432"/>
      <c r="V352" s="432"/>
      <c r="W352" s="432"/>
      <c r="X352" s="432"/>
      <c r="Y352" s="432"/>
      <c r="Z352" s="432"/>
      <c r="AA352" s="432"/>
      <c r="AB352" s="432"/>
      <c r="AC352" s="432"/>
      <c r="AD352" s="432"/>
      <c r="AE352" s="432"/>
      <c r="AF352" s="432"/>
      <c r="AG352" s="432"/>
      <c r="AH352" s="432"/>
      <c r="AI352" s="432"/>
      <c r="AJ352" s="432"/>
      <c r="AK352" s="432"/>
      <c r="AL352" s="432"/>
      <c r="AM352" s="432"/>
      <c r="AN352" s="432"/>
      <c r="AO352" s="432"/>
    </row>
    <row r="353" spans="1:41" ht="15.75" customHeight="1">
      <c r="B353" s="378"/>
      <c r="C353" s="378"/>
      <c r="D353" s="379"/>
      <c r="E353" s="378"/>
      <c r="F353" s="378"/>
      <c r="G353" s="386"/>
      <c r="H353" s="378"/>
      <c r="I353" s="349"/>
      <c r="J353" s="417"/>
      <c r="K353" s="417"/>
      <c r="L353" s="417"/>
      <c r="M353" s="417"/>
      <c r="N353" s="417"/>
      <c r="O353" s="417"/>
      <c r="P353" s="417"/>
      <c r="Q353" s="383">
        <f t="shared" si="44"/>
        <v>0</v>
      </c>
      <c r="R353" s="383"/>
      <c r="S353" s="432"/>
      <c r="U353" s="432"/>
      <c r="V353" s="432"/>
      <c r="W353" s="432"/>
      <c r="X353" s="432"/>
      <c r="Y353" s="432"/>
      <c r="Z353" s="432"/>
      <c r="AA353" s="432"/>
      <c r="AB353" s="432"/>
      <c r="AC353" s="432"/>
      <c r="AD353" s="432"/>
      <c r="AE353" s="432"/>
      <c r="AF353" s="432"/>
      <c r="AG353" s="432"/>
      <c r="AH353" s="432"/>
      <c r="AI353" s="432"/>
      <c r="AJ353" s="432"/>
      <c r="AK353" s="432"/>
      <c r="AL353" s="432"/>
      <c r="AM353" s="432"/>
      <c r="AN353" s="432"/>
      <c r="AO353" s="432"/>
    </row>
    <row r="354" spans="1:41" ht="15.75" customHeight="1">
      <c r="A354" s="349" t="s">
        <v>889</v>
      </c>
      <c r="B354" s="378">
        <f>('Pivot Table for Data Exchange'!$N$151)*100</f>
        <v>47.249362275593207</v>
      </c>
      <c r="C354" s="378">
        <f>('Pivot Table for Data Exchange'!$N$154)*100</f>
        <v>16.828704817827404</v>
      </c>
      <c r="D354" s="379">
        <f t="shared" ref="D354:D355" si="46">SUM(E354:G354)</f>
        <v>35.921932906579393</v>
      </c>
      <c r="E354" s="378">
        <f>('Pivot Table for Data Exchange'!$N$157)*100</f>
        <v>35.921932906579393</v>
      </c>
      <c r="F354" s="378">
        <f>('Pivot Table for Data Exchange'!$N$160)*100</f>
        <v>0</v>
      </c>
      <c r="G354" s="386">
        <f>('Pivot Table for Data Exchange'!$N$163)*100</f>
        <v>0</v>
      </c>
      <c r="H354" s="378">
        <f>('Pivot Table for Data Exchange'!$N$166)*100</f>
        <v>0</v>
      </c>
      <c r="I354" s="349"/>
      <c r="J354" s="417"/>
      <c r="K354" s="417"/>
      <c r="L354" s="417"/>
      <c r="M354" s="417"/>
      <c r="N354" s="417"/>
      <c r="O354" s="417"/>
      <c r="P354" s="417"/>
      <c r="Q354" s="383">
        <f t="shared" si="44"/>
        <v>100</v>
      </c>
      <c r="R354" s="383"/>
      <c r="S354" s="432"/>
      <c r="T354" s="432"/>
      <c r="U354" s="432"/>
      <c r="V354" s="432"/>
      <c r="W354" s="432"/>
      <c r="X354" s="432"/>
      <c r="Y354" s="432"/>
      <c r="Z354" s="432"/>
      <c r="AA354" s="432"/>
      <c r="AB354" s="432"/>
      <c r="AC354" s="432"/>
      <c r="AD354" s="432"/>
      <c r="AE354" s="432"/>
      <c r="AF354" s="432"/>
      <c r="AG354" s="432"/>
      <c r="AH354" s="432"/>
      <c r="AI354" s="432"/>
      <c r="AJ354" s="432"/>
      <c r="AK354" s="432"/>
      <c r="AL354" s="432"/>
      <c r="AM354" s="432"/>
      <c r="AN354" s="432"/>
      <c r="AO354" s="432"/>
    </row>
    <row r="355" spans="1:41" ht="15.75" customHeight="1">
      <c r="A355" s="349" t="s">
        <v>890</v>
      </c>
      <c r="B355" s="378">
        <f>('Pivot Table for Data Exchange'!$N$187)*100</f>
        <v>46.03856900021492</v>
      </c>
      <c r="C355" s="378">
        <f>('Pivot Table for Data Exchange'!$N$190)*100</f>
        <v>11.636349426545006</v>
      </c>
      <c r="D355" s="379">
        <f t="shared" si="46"/>
        <v>42.32508157324007</v>
      </c>
      <c r="E355" s="378">
        <f>('Pivot Table for Data Exchange'!$N$193)*100</f>
        <v>42.32508157324007</v>
      </c>
      <c r="F355" s="378">
        <f>('Pivot Table for Data Exchange'!$N$196)*100</f>
        <v>0</v>
      </c>
      <c r="G355" s="386">
        <f>('Pivot Table for Data Exchange'!$N$199)*100</f>
        <v>0</v>
      </c>
      <c r="H355" s="378">
        <f>('Pivot Table for Data Exchange'!$N$202)*100</f>
        <v>0</v>
      </c>
      <c r="I355" s="349"/>
      <c r="J355" s="417"/>
      <c r="K355" s="417"/>
      <c r="L355" s="417"/>
      <c r="M355" s="417"/>
      <c r="N355" s="417"/>
      <c r="O355" s="417"/>
      <c r="P355" s="417"/>
      <c r="Q355" s="383">
        <f t="shared" si="44"/>
        <v>100</v>
      </c>
      <c r="R355" s="383"/>
      <c r="S355" s="432"/>
      <c r="T355" s="432"/>
      <c r="U355" s="432"/>
      <c r="V355" s="432"/>
      <c r="W355" s="432"/>
      <c r="X355" s="432"/>
      <c r="Y355" s="432"/>
      <c r="Z355" s="432"/>
      <c r="AA355" s="432"/>
      <c r="AB355" s="432"/>
      <c r="AC355" s="432"/>
      <c r="AD355" s="432"/>
      <c r="AE355" s="432"/>
      <c r="AF355" s="432"/>
      <c r="AG355" s="432"/>
      <c r="AH355" s="432"/>
      <c r="AI355" s="432"/>
      <c r="AJ355" s="432"/>
      <c r="AK355" s="432"/>
      <c r="AL355" s="432"/>
      <c r="AM355" s="432"/>
      <c r="AN355" s="432"/>
      <c r="AO355" s="432"/>
    </row>
    <row r="356" spans="1:41" ht="15.75" customHeight="1">
      <c r="A356" s="349" t="s">
        <v>891</v>
      </c>
      <c r="B356" s="378">
        <f>('Pivot Table for Data Exchange'!$N$223)*100</f>
        <v>71.19475710095854</v>
      </c>
      <c r="C356" s="378">
        <f>('Pivot Table for Data Exchange'!$N$226)*100</f>
        <v>0</v>
      </c>
      <c r="D356" s="379">
        <f>SUM(E356:G356)</f>
        <v>28.805242899041456</v>
      </c>
      <c r="E356" s="378">
        <f>('Pivot Table for Data Exchange'!$N$229)*100</f>
        <v>28.805242899041456</v>
      </c>
      <c r="F356" s="378">
        <f>('Pivot Table for Data Exchange'!$N$232)*100</f>
        <v>0</v>
      </c>
      <c r="G356" s="386">
        <f>('Pivot Table for Data Exchange'!$N$235)*100</f>
        <v>0</v>
      </c>
      <c r="H356" s="378">
        <f>('Pivot Table for Data Exchange'!$N$238)*100</f>
        <v>0</v>
      </c>
      <c r="I356" s="349"/>
      <c r="J356" s="417"/>
      <c r="K356" s="417"/>
      <c r="L356" s="417"/>
      <c r="M356" s="417"/>
      <c r="N356" s="417"/>
      <c r="O356" s="417"/>
      <c r="P356" s="417"/>
      <c r="Q356" s="383">
        <f t="shared" si="44"/>
        <v>100</v>
      </c>
      <c r="R356" s="383"/>
      <c r="S356" s="432"/>
      <c r="T356" s="436"/>
      <c r="U356" s="432"/>
      <c r="V356" s="432"/>
      <c r="W356" s="432"/>
      <c r="X356" s="432"/>
      <c r="Y356" s="432"/>
      <c r="Z356" s="432"/>
      <c r="AA356" s="432"/>
      <c r="AB356" s="432"/>
      <c r="AC356" s="432"/>
      <c r="AD356" s="432"/>
      <c r="AE356" s="432"/>
      <c r="AF356" s="432"/>
      <c r="AG356" s="432"/>
      <c r="AH356" s="432"/>
      <c r="AI356" s="432"/>
      <c r="AJ356" s="432"/>
      <c r="AK356" s="432"/>
      <c r="AL356" s="432"/>
      <c r="AM356" s="432"/>
      <c r="AN356" s="432"/>
      <c r="AO356" s="432"/>
    </row>
    <row r="357" spans="1:41" ht="15.75" customHeight="1">
      <c r="A357" s="349" t="s">
        <v>892</v>
      </c>
      <c r="B357" s="378">
        <f>('Pivot Table for Data Exchange'!$N$259)*100</f>
        <v>71.038074628806541</v>
      </c>
      <c r="C357" s="378">
        <f>('Pivot Table for Data Exchange'!$N$262)*100</f>
        <v>6.0457935854303448</v>
      </c>
      <c r="D357" s="379">
        <f>SUM(E357:G357)</f>
        <v>22.91613178576311</v>
      </c>
      <c r="E357" s="378">
        <f>('Pivot Table for Data Exchange'!$N$265)*100</f>
        <v>22.033870048114274</v>
      </c>
      <c r="F357" s="378">
        <f>('Pivot Table for Data Exchange'!$N$268)*100</f>
        <v>0.88226173764883575</v>
      </c>
      <c r="G357" s="386">
        <f>('Pivot Table for Data Exchange'!$N$271)*100</f>
        <v>0</v>
      </c>
      <c r="H357" s="378">
        <f>('Pivot Table for Data Exchange'!$N$274)*100</f>
        <v>0</v>
      </c>
      <c r="I357" s="349"/>
      <c r="J357" s="417"/>
      <c r="K357" s="417"/>
      <c r="L357" s="417"/>
      <c r="M357" s="417"/>
      <c r="N357" s="417"/>
      <c r="O357" s="417"/>
      <c r="P357" s="417"/>
      <c r="Q357" s="383">
        <f t="shared" si="44"/>
        <v>100</v>
      </c>
      <c r="R357" s="383"/>
      <c r="S357" s="432"/>
      <c r="U357" s="432"/>
      <c r="V357" s="432"/>
      <c r="W357" s="432"/>
      <c r="X357" s="432"/>
      <c r="Y357" s="432"/>
      <c r="Z357" s="432"/>
      <c r="AA357" s="432"/>
      <c r="AB357" s="432"/>
      <c r="AC357" s="432"/>
      <c r="AD357" s="432"/>
      <c r="AE357" s="432"/>
      <c r="AF357" s="432"/>
      <c r="AG357" s="432"/>
      <c r="AH357" s="432"/>
      <c r="AI357" s="432"/>
      <c r="AJ357" s="432"/>
      <c r="AK357" s="432"/>
      <c r="AL357" s="432"/>
      <c r="AM357" s="432"/>
      <c r="AN357" s="432"/>
      <c r="AO357" s="432"/>
    </row>
    <row r="358" spans="1:41" ht="12.75" customHeight="1">
      <c r="B358" s="378"/>
      <c r="C358" s="378"/>
      <c r="D358" s="379"/>
      <c r="E358" s="378"/>
      <c r="F358" s="378"/>
      <c r="G358" s="386"/>
      <c r="H358" s="378"/>
      <c r="I358" s="349"/>
      <c r="J358" s="417"/>
      <c r="K358" s="417"/>
      <c r="L358" s="417"/>
      <c r="M358" s="417"/>
      <c r="N358" s="417"/>
      <c r="O358" s="417"/>
      <c r="P358" s="417"/>
      <c r="Q358" s="383">
        <f t="shared" si="44"/>
        <v>0</v>
      </c>
      <c r="R358" s="383"/>
      <c r="S358" s="432"/>
      <c r="U358" s="432"/>
      <c r="V358" s="432"/>
      <c r="W358" s="432"/>
      <c r="X358" s="432"/>
      <c r="Y358" s="432"/>
      <c r="Z358" s="432"/>
      <c r="AA358" s="432"/>
      <c r="AB358" s="432"/>
      <c r="AC358" s="432"/>
      <c r="AD358" s="432"/>
      <c r="AE358" s="432"/>
      <c r="AF358" s="432"/>
      <c r="AG358" s="432"/>
      <c r="AH358" s="432"/>
      <c r="AI358" s="432"/>
      <c r="AJ358" s="432"/>
      <c r="AK358" s="432"/>
      <c r="AL358" s="432"/>
      <c r="AM358" s="432"/>
      <c r="AN358" s="432"/>
      <c r="AO358" s="432"/>
    </row>
    <row r="359" spans="1:41" ht="15.75" customHeight="1">
      <c r="A359" s="349" t="s">
        <v>940</v>
      </c>
      <c r="B359" s="378">
        <f>('Pivot Table for Data Exchange'!$N$295)*100</f>
        <v>80.521473845774878</v>
      </c>
      <c r="C359" s="378">
        <f>('Pivot Table for Data Exchange'!$N$298)*100</f>
        <v>0.84133135001468529</v>
      </c>
      <c r="D359" s="379">
        <f>SUM(E359:G359)</f>
        <v>18.637194804210448</v>
      </c>
      <c r="E359" s="378">
        <f>('Pivot Table for Data Exchange'!$N$301)*100</f>
        <v>18.637194804210448</v>
      </c>
      <c r="F359" s="378">
        <f>('Pivot Table for Data Exchange'!$N$304)*100</f>
        <v>0</v>
      </c>
      <c r="G359" s="386">
        <f>('Pivot Table for Data Exchange'!$N$307)*100</f>
        <v>0</v>
      </c>
      <c r="H359" s="378">
        <f>('Pivot Table for Data Exchange'!$N$310)*100</f>
        <v>0</v>
      </c>
      <c r="I359" s="424"/>
      <c r="J359" s="417"/>
      <c r="K359" s="417"/>
      <c r="L359" s="417"/>
      <c r="M359" s="417"/>
      <c r="N359" s="417"/>
      <c r="O359" s="417"/>
      <c r="P359" s="417"/>
      <c r="Q359" s="383">
        <f t="shared" si="44"/>
        <v>100.00000000000001</v>
      </c>
      <c r="R359" s="383"/>
      <c r="S359" s="432"/>
      <c r="T359" s="432"/>
      <c r="U359" s="432"/>
      <c r="V359" s="432"/>
      <c r="W359" s="432"/>
      <c r="X359" s="432"/>
      <c r="Y359" s="432"/>
      <c r="Z359" s="432"/>
      <c r="AA359" s="432"/>
      <c r="AB359" s="432"/>
      <c r="AC359" s="432"/>
      <c r="AD359" s="432"/>
      <c r="AE359" s="432"/>
      <c r="AF359" s="432"/>
      <c r="AG359" s="432"/>
      <c r="AH359" s="432"/>
      <c r="AI359" s="432"/>
      <c r="AJ359" s="432"/>
      <c r="AK359" s="432"/>
      <c r="AL359" s="432"/>
      <c r="AM359" s="432"/>
      <c r="AN359" s="432"/>
      <c r="AO359" s="432"/>
    </row>
    <row r="360" spans="1:41" ht="15.75" customHeight="1">
      <c r="A360" s="349" t="s">
        <v>894</v>
      </c>
      <c r="B360" s="378">
        <f>('Pivot Table for Data Exchange'!$N$331)*100</f>
        <v>29.438824686700631</v>
      </c>
      <c r="C360" s="378">
        <f>('Pivot Table for Data Exchange'!$N$334)*100</f>
        <v>3.2553019025627474</v>
      </c>
      <c r="D360" s="379">
        <f>SUM(E360:G360)</f>
        <v>67.305873410736623</v>
      </c>
      <c r="E360" s="378">
        <f>('Pivot Table for Data Exchange'!$N$337)*100</f>
        <v>66.191258904879078</v>
      </c>
      <c r="F360" s="378">
        <f>('Pivot Table for Data Exchange'!$N$340)*100</f>
        <v>0.63584059984690056</v>
      </c>
      <c r="G360" s="386">
        <f>('Pivot Table for Data Exchange'!$N$343)*100</f>
        <v>0.47877390601064118</v>
      </c>
      <c r="H360" s="378">
        <f>('Pivot Table for Data Exchange'!$N$346)*100</f>
        <v>0</v>
      </c>
      <c r="I360" s="349"/>
      <c r="J360" s="417"/>
      <c r="K360" s="417"/>
      <c r="L360" s="417"/>
      <c r="M360" s="417"/>
      <c r="N360" s="417"/>
      <c r="O360" s="417"/>
      <c r="P360" s="417"/>
      <c r="Q360" s="383">
        <f t="shared" si="44"/>
        <v>100</v>
      </c>
      <c r="R360" s="383"/>
      <c r="S360" s="432"/>
      <c r="T360" s="432"/>
      <c r="U360" s="432"/>
      <c r="V360" s="432"/>
      <c r="W360" s="432"/>
      <c r="X360" s="432"/>
      <c r="Y360" s="432"/>
      <c r="Z360" s="432"/>
      <c r="AA360" s="432"/>
      <c r="AB360" s="432"/>
      <c r="AC360" s="432"/>
      <c r="AD360" s="432"/>
      <c r="AE360" s="432"/>
      <c r="AF360" s="432"/>
      <c r="AG360" s="432"/>
      <c r="AH360" s="432"/>
      <c r="AI360" s="432"/>
      <c r="AJ360" s="432"/>
      <c r="AK360" s="432"/>
      <c r="AL360" s="432"/>
      <c r="AM360" s="432"/>
      <c r="AN360" s="432"/>
      <c r="AO360" s="432"/>
    </row>
    <row r="361" spans="1:41" ht="15.75" customHeight="1">
      <c r="A361" s="349" t="s">
        <v>895</v>
      </c>
      <c r="B361" s="378">
        <f>('Pivot Table for Data Exchange'!$N$367)*100</f>
        <v>65.928158268717738</v>
      </c>
      <c r="C361" s="378">
        <f>('Pivot Table for Data Exchange'!$N$370)*100</f>
        <v>3.432521379241567</v>
      </c>
      <c r="D361" s="379">
        <f>SUM(E361:G361)</f>
        <v>30.639320352040688</v>
      </c>
      <c r="E361" s="378">
        <f>('Pivot Table for Data Exchange'!$N$373)*100</f>
        <v>26.726856815178639</v>
      </c>
      <c r="F361" s="378">
        <f>('Pivot Table for Data Exchange'!$N$376)*100</f>
        <v>3.8657159241068091</v>
      </c>
      <c r="G361" s="385">
        <f>('Pivot Table for Data Exchange'!$N$379)*100</f>
        <v>4.6747612755241967E-2</v>
      </c>
      <c r="H361" s="378">
        <f>('Pivot Table for Data Exchange'!$N$382)*100</f>
        <v>0</v>
      </c>
      <c r="I361" s="349"/>
      <c r="J361" s="417"/>
      <c r="K361" s="417"/>
      <c r="L361" s="417"/>
      <c r="M361" s="417"/>
      <c r="N361" s="417"/>
      <c r="O361" s="417"/>
      <c r="P361" s="417"/>
      <c r="Q361" s="383">
        <f t="shared" si="44"/>
        <v>99.999999999999986</v>
      </c>
      <c r="R361" s="383"/>
      <c r="S361" s="432"/>
      <c r="T361" s="436"/>
      <c r="U361" s="432"/>
      <c r="V361" s="432"/>
      <c r="W361" s="432"/>
      <c r="X361" s="432"/>
      <c r="Y361" s="432"/>
      <c r="Z361" s="432"/>
      <c r="AA361" s="432"/>
      <c r="AB361" s="432"/>
      <c r="AC361" s="432"/>
      <c r="AD361" s="432"/>
      <c r="AE361" s="432"/>
      <c r="AF361" s="432"/>
      <c r="AG361" s="432"/>
      <c r="AH361" s="432"/>
      <c r="AI361" s="432"/>
      <c r="AJ361" s="432"/>
      <c r="AK361" s="432"/>
      <c r="AL361" s="432"/>
      <c r="AM361" s="432"/>
      <c r="AN361" s="432"/>
      <c r="AO361" s="432"/>
    </row>
    <row r="362" spans="1:41" ht="15.75" customHeight="1">
      <c r="A362" s="349" t="s">
        <v>896</v>
      </c>
      <c r="B362" s="378">
        <f>('Pivot Table for Data Exchange'!$N$403)*100</f>
        <v>74.2403059933375</v>
      </c>
      <c r="C362" s="378">
        <f>('Pivot Table for Data Exchange'!$N$406)*100</f>
        <v>4.1547224446279003</v>
      </c>
      <c r="D362" s="379">
        <f>SUM(E362:G362)</f>
        <v>21.604971562034589</v>
      </c>
      <c r="E362" s="378">
        <f>('Pivot Table for Data Exchange'!$N$409)*100</f>
        <v>19.836051292050229</v>
      </c>
      <c r="F362" s="378">
        <f>('Pivot Table for Data Exchange'!$N$412)*100</f>
        <v>1.76892026998436</v>
      </c>
      <c r="G362" s="386">
        <f>('Pivot Table for Data Exchange'!$N$415)*100</f>
        <v>0</v>
      </c>
      <c r="H362" s="378">
        <f>('Pivot Table for Data Exchange'!$N$418)*100</f>
        <v>0</v>
      </c>
      <c r="I362" s="349"/>
      <c r="J362" s="417"/>
      <c r="K362" s="417"/>
      <c r="L362" s="417"/>
      <c r="M362" s="417"/>
      <c r="N362" s="417"/>
      <c r="O362" s="417"/>
      <c r="P362" s="417"/>
      <c r="Q362" s="383">
        <f t="shared" si="44"/>
        <v>100</v>
      </c>
      <c r="R362" s="383"/>
      <c r="S362" s="432"/>
      <c r="T362" s="432"/>
      <c r="U362" s="432"/>
      <c r="V362" s="432"/>
      <c r="W362" s="432"/>
      <c r="X362" s="432"/>
      <c r="Y362" s="432"/>
      <c r="Z362" s="432"/>
      <c r="AA362" s="432"/>
      <c r="AB362" s="432"/>
      <c r="AC362" s="432"/>
      <c r="AD362" s="432"/>
      <c r="AE362" s="432"/>
      <c r="AF362" s="432"/>
      <c r="AG362" s="432"/>
      <c r="AH362" s="432"/>
      <c r="AI362" s="432"/>
      <c r="AJ362" s="432"/>
      <c r="AK362" s="432"/>
      <c r="AL362" s="432"/>
      <c r="AM362" s="432"/>
      <c r="AN362" s="432"/>
      <c r="AO362" s="432"/>
    </row>
    <row r="363" spans="1:41" ht="12" customHeight="1">
      <c r="B363" s="378"/>
      <c r="C363" s="378"/>
      <c r="D363" s="379"/>
      <c r="E363" s="378"/>
      <c r="F363" s="378"/>
      <c r="G363" s="386"/>
      <c r="H363" s="378"/>
      <c r="I363" s="349"/>
      <c r="J363" s="417"/>
      <c r="K363" s="417"/>
      <c r="L363" s="417"/>
      <c r="M363" s="417"/>
      <c r="N363" s="417"/>
      <c r="O363" s="417"/>
      <c r="P363" s="417"/>
      <c r="Q363" s="383">
        <f t="shared" si="44"/>
        <v>0</v>
      </c>
      <c r="R363" s="383"/>
      <c r="S363" s="432"/>
      <c r="T363" s="432"/>
      <c r="U363" s="432"/>
      <c r="V363" s="432"/>
      <c r="W363" s="432"/>
      <c r="X363" s="432"/>
      <c r="Y363" s="432"/>
      <c r="Z363" s="432"/>
      <c r="AA363" s="432"/>
      <c r="AB363" s="432"/>
      <c r="AC363" s="432"/>
      <c r="AD363" s="432"/>
      <c r="AE363" s="432"/>
      <c r="AF363" s="432"/>
      <c r="AG363" s="432"/>
      <c r="AH363" s="432"/>
      <c r="AI363" s="432"/>
      <c r="AJ363" s="432"/>
      <c r="AK363" s="432"/>
      <c r="AL363" s="432"/>
      <c r="AM363" s="432"/>
      <c r="AN363" s="432"/>
      <c r="AO363" s="432"/>
    </row>
    <row r="364" spans="1:41" ht="15.75" customHeight="1">
      <c r="A364" s="349" t="s">
        <v>897</v>
      </c>
      <c r="B364" s="378">
        <f>('Pivot Table for Data Exchange'!$N$439)*100</f>
        <v>30.996956011380139</v>
      </c>
      <c r="C364" s="378">
        <f>('Pivot Table for Data Exchange'!$N$442)*100</f>
        <v>41.294789407715413</v>
      </c>
      <c r="D364" s="379">
        <f>SUM(E364:G364)</f>
        <v>27.364065018005295</v>
      </c>
      <c r="E364" s="378">
        <f>('Pivot Table for Data Exchange'!$N$445)*100</f>
        <v>20.547917951574718</v>
      </c>
      <c r="F364" s="378">
        <f>('Pivot Table for Data Exchange'!$N$448)*100</f>
        <v>4.3332073294471085</v>
      </c>
      <c r="G364" s="386">
        <f>('Pivot Table for Data Exchange'!$N$451)*100</f>
        <v>2.4829397369834671</v>
      </c>
      <c r="H364" s="378">
        <f>('Pivot Table for Data Exchange'!$N$454)*100</f>
        <v>0.34418956289915048</v>
      </c>
      <c r="I364" s="349"/>
      <c r="J364" s="417"/>
      <c r="K364" s="417"/>
      <c r="L364" s="417"/>
      <c r="M364" s="417"/>
      <c r="N364" s="417"/>
      <c r="O364" s="417"/>
      <c r="P364" s="417"/>
      <c r="Q364" s="383">
        <f t="shared" si="44"/>
        <v>99.999999999999986</v>
      </c>
      <c r="R364" s="383"/>
      <c r="S364" s="432"/>
      <c r="T364" s="432"/>
      <c r="U364" s="432"/>
      <c r="V364" s="432"/>
      <c r="W364" s="432"/>
      <c r="X364" s="432"/>
      <c r="Y364" s="432"/>
      <c r="Z364" s="432"/>
      <c r="AA364" s="432"/>
      <c r="AB364" s="432"/>
      <c r="AC364" s="432"/>
      <c r="AD364" s="432"/>
      <c r="AE364" s="432"/>
      <c r="AF364" s="432"/>
      <c r="AG364" s="432"/>
      <c r="AH364" s="432"/>
      <c r="AI364" s="432"/>
      <c r="AJ364" s="432"/>
      <c r="AK364" s="432"/>
      <c r="AL364" s="432"/>
      <c r="AM364" s="432"/>
      <c r="AN364" s="432"/>
      <c r="AO364" s="432"/>
    </row>
    <row r="365" spans="1:41" ht="15.75" customHeight="1">
      <c r="A365" s="349" t="s">
        <v>898</v>
      </c>
      <c r="B365" s="378">
        <f>('Pivot Table for Data Exchange'!$N$475)*100</f>
        <v>50.611622552456261</v>
      </c>
      <c r="C365" s="378">
        <f>('Pivot Table for Data Exchange'!$N$478)*100</f>
        <v>12.884682427488345</v>
      </c>
      <c r="D365" s="379">
        <f>SUM(E365:G365)</f>
        <v>36.503695020055389</v>
      </c>
      <c r="E365" s="378">
        <f>('Pivot Table for Data Exchange'!$N$481)*100</f>
        <v>34.563282725541796</v>
      </c>
      <c r="F365" s="378">
        <f>('Pivot Table for Data Exchange'!$N$484)*100</f>
        <v>1.285307650166458</v>
      </c>
      <c r="G365" s="386">
        <f>('Pivot Table for Data Exchange'!$N$487)*100</f>
        <v>0.65510464434713656</v>
      </c>
      <c r="H365" s="378">
        <f>('Pivot Table for Data Exchange'!$N$490)*100</f>
        <v>0</v>
      </c>
      <c r="I365" s="349"/>
      <c r="J365" s="417"/>
      <c r="K365" s="417"/>
      <c r="L365" s="417"/>
      <c r="M365" s="417"/>
      <c r="N365" s="417"/>
      <c r="O365" s="417"/>
      <c r="P365" s="417"/>
      <c r="Q365" s="383">
        <f t="shared" si="44"/>
        <v>100</v>
      </c>
      <c r="R365" s="383"/>
      <c r="S365" s="432"/>
      <c r="T365" s="432"/>
      <c r="U365" s="432"/>
      <c r="V365" s="432"/>
      <c r="W365" s="432"/>
      <c r="X365" s="432"/>
      <c r="Y365" s="432"/>
      <c r="Z365" s="432"/>
      <c r="AA365" s="432"/>
      <c r="AB365" s="432"/>
      <c r="AC365" s="432"/>
      <c r="AD365" s="432"/>
      <c r="AE365" s="432"/>
      <c r="AF365" s="432"/>
      <c r="AG365" s="432"/>
      <c r="AH365" s="432"/>
      <c r="AI365" s="432"/>
      <c r="AJ365" s="432"/>
      <c r="AK365" s="432"/>
      <c r="AL365" s="432"/>
      <c r="AM365" s="432"/>
      <c r="AN365" s="432"/>
      <c r="AO365" s="432"/>
    </row>
    <row r="366" spans="1:41" ht="15.75" customHeight="1">
      <c r="A366" s="349" t="s">
        <v>899</v>
      </c>
      <c r="B366" s="378">
        <f>('Pivot Table for Data Exchange'!$N$511)*100</f>
        <v>36.628720200112305</v>
      </c>
      <c r="C366" s="378">
        <f>('Pivot Table for Data Exchange'!$N$514)*100</f>
        <v>24.01245597018735</v>
      </c>
      <c r="D366" s="379">
        <f>SUM(E366:G366)</f>
        <v>39.358823829700341</v>
      </c>
      <c r="E366" s="378">
        <f>('Pivot Table for Data Exchange'!$N$517)*100</f>
        <v>32.039154627597121</v>
      </c>
      <c r="F366" s="378">
        <f>('Pivot Table for Data Exchange'!$N$520)*100</f>
        <v>7.3196692021032215</v>
      </c>
      <c r="G366" s="386">
        <f>('Pivot Table for Data Exchange'!$N$523)*100</f>
        <v>0</v>
      </c>
      <c r="H366" s="378">
        <f>('Pivot Table for Data Exchange'!$N$526)*100</f>
        <v>0</v>
      </c>
      <c r="I366" s="349"/>
      <c r="J366" s="417"/>
      <c r="K366" s="417"/>
      <c r="L366" s="417"/>
      <c r="M366" s="417"/>
      <c r="N366" s="417"/>
      <c r="O366" s="417"/>
      <c r="P366" s="417"/>
      <c r="Q366" s="383">
        <f t="shared" si="44"/>
        <v>100</v>
      </c>
      <c r="R366" s="383"/>
      <c r="S366" s="432"/>
      <c r="T366" s="432"/>
      <c r="U366" s="432"/>
      <c r="V366" s="432"/>
      <c r="W366" s="432"/>
      <c r="X366" s="432"/>
      <c r="Y366" s="432"/>
      <c r="Z366" s="432"/>
      <c r="AA366" s="432"/>
      <c r="AB366" s="432"/>
      <c r="AC366" s="432"/>
      <c r="AD366" s="432"/>
      <c r="AE366" s="432"/>
      <c r="AF366" s="432"/>
      <c r="AG366" s="432"/>
      <c r="AH366" s="432"/>
      <c r="AI366" s="432"/>
      <c r="AJ366" s="432"/>
      <c r="AK366" s="432"/>
      <c r="AL366" s="432"/>
      <c r="AM366" s="432"/>
      <c r="AN366" s="432"/>
      <c r="AO366" s="432"/>
    </row>
    <row r="367" spans="1:41" ht="15.75" customHeight="1">
      <c r="A367" s="355" t="s">
        <v>900</v>
      </c>
      <c r="B367" s="391">
        <f>('Pivot Table for Data Exchange'!$N$547)*100</f>
        <v>59.374050025446515</v>
      </c>
      <c r="C367" s="391">
        <f>('Pivot Table for Data Exchange'!$N$550)*100</f>
        <v>12.800106567931932</v>
      </c>
      <c r="D367" s="392">
        <f>SUM(E367:G367)</f>
        <v>27.825843406621555</v>
      </c>
      <c r="E367" s="391">
        <f>('Pivot Table for Data Exchange'!$N$553)*100</f>
        <v>25.974908717051893</v>
      </c>
      <c r="F367" s="391">
        <f>('Pivot Table for Data Exchange'!$N$556)*100</f>
        <v>1.8509346895696637</v>
      </c>
      <c r="G367" s="393">
        <f>('Pivot Table for Data Exchange'!$N$559)*100</f>
        <v>0</v>
      </c>
      <c r="H367" s="391">
        <f>('Pivot Table for Data Exchange'!$N$562)*100</f>
        <v>0</v>
      </c>
      <c r="I367" s="349"/>
      <c r="J367" s="417"/>
      <c r="K367" s="417"/>
      <c r="L367" s="417"/>
      <c r="M367" s="417"/>
      <c r="N367" s="417"/>
      <c r="O367" s="417"/>
      <c r="P367" s="417"/>
      <c r="Q367" s="383">
        <f t="shared" si="44"/>
        <v>100</v>
      </c>
      <c r="R367" s="383"/>
      <c r="S367" s="432"/>
      <c r="T367" s="432"/>
      <c r="U367" s="432"/>
      <c r="V367" s="432"/>
      <c r="W367" s="432"/>
      <c r="X367" s="432"/>
      <c r="Y367" s="432"/>
      <c r="Z367" s="432"/>
      <c r="AA367" s="432"/>
      <c r="AB367" s="432"/>
      <c r="AC367" s="432"/>
      <c r="AD367" s="432"/>
      <c r="AE367" s="432"/>
      <c r="AF367" s="432"/>
      <c r="AG367" s="432"/>
      <c r="AH367" s="432"/>
      <c r="AI367" s="432"/>
      <c r="AJ367" s="432"/>
      <c r="AK367" s="432"/>
      <c r="AL367" s="432"/>
      <c r="AM367" s="432"/>
      <c r="AN367" s="432"/>
      <c r="AO367" s="432"/>
    </row>
    <row r="368" spans="1:41" s="422" customFormat="1" ht="12" customHeight="1">
      <c r="A368" s="397" t="s">
        <v>926</v>
      </c>
      <c r="B368" s="398"/>
      <c r="C368" s="398"/>
      <c r="D368" s="399"/>
      <c r="E368" s="398"/>
      <c r="F368" s="399"/>
      <c r="G368" s="399"/>
      <c r="H368" s="398"/>
      <c r="I368" s="407"/>
      <c r="J368" s="398"/>
      <c r="K368" s="398"/>
      <c r="L368" s="399"/>
      <c r="M368" s="398"/>
      <c r="N368" s="399"/>
      <c r="O368" s="399"/>
      <c r="P368" s="398"/>
      <c r="Q368" s="383">
        <f t="shared" si="44"/>
        <v>0</v>
      </c>
      <c r="R368" s="418"/>
      <c r="S368" s="435"/>
      <c r="T368" s="435"/>
      <c r="U368" s="435"/>
      <c r="V368" s="435"/>
      <c r="W368" s="435"/>
      <c r="X368" s="435"/>
      <c r="Y368" s="435"/>
      <c r="Z368" s="435"/>
      <c r="AA368" s="435"/>
      <c r="AB368" s="435"/>
      <c r="AC368" s="435"/>
      <c r="AD368" s="435"/>
      <c r="AE368" s="435"/>
      <c r="AF368" s="435"/>
      <c r="AG368" s="435"/>
      <c r="AH368" s="435"/>
      <c r="AI368" s="435"/>
      <c r="AJ368" s="435"/>
      <c r="AK368" s="435"/>
      <c r="AL368" s="435"/>
      <c r="AM368" s="435"/>
      <c r="AN368" s="435"/>
      <c r="AO368" s="435"/>
    </row>
    <row r="369" spans="1:41" s="422" customFormat="1" ht="22.5" customHeight="1">
      <c r="A369" s="501" t="s">
        <v>941</v>
      </c>
      <c r="B369" s="502"/>
      <c r="C369" s="502"/>
      <c r="D369" s="502"/>
      <c r="E369" s="502"/>
      <c r="F369" s="502"/>
      <c r="G369" s="502"/>
      <c r="H369" s="502"/>
      <c r="I369" s="407"/>
      <c r="J369" s="396"/>
      <c r="K369" s="396"/>
      <c r="L369" s="396"/>
      <c r="M369" s="396"/>
      <c r="N369" s="396"/>
      <c r="O369" s="396"/>
      <c r="P369" s="409"/>
      <c r="Q369" s="383">
        <f t="shared" si="44"/>
        <v>0</v>
      </c>
      <c r="R369" s="419"/>
    </row>
    <row r="370" spans="1:41" s="422" customFormat="1" ht="13.5" customHeight="1">
      <c r="A370" s="407"/>
      <c r="B370" s="396"/>
      <c r="C370" s="396"/>
      <c r="D370" s="396"/>
      <c r="E370" s="396"/>
      <c r="F370" s="396"/>
      <c r="G370" s="396"/>
      <c r="H370" s="396"/>
      <c r="I370" s="407"/>
      <c r="J370" s="396"/>
      <c r="K370" s="396"/>
      <c r="L370" s="396"/>
      <c r="M370" s="396"/>
      <c r="N370" s="396"/>
      <c r="O370" s="396"/>
      <c r="P370" s="396"/>
      <c r="Q370" s="383">
        <f t="shared" si="44"/>
        <v>0</v>
      </c>
      <c r="R370" s="419"/>
    </row>
    <row r="371" spans="1:41" s="422" customFormat="1">
      <c r="A371" s="396"/>
      <c r="B371" s="398"/>
      <c r="C371" s="398"/>
      <c r="D371" s="399"/>
      <c r="E371" s="398"/>
      <c r="F371" s="399"/>
      <c r="G371" s="399"/>
      <c r="H371" s="402" t="s">
        <v>1007</v>
      </c>
      <c r="I371" s="423"/>
      <c r="J371" s="396"/>
      <c r="K371" s="396"/>
      <c r="L371" s="396"/>
      <c r="M371" s="396"/>
      <c r="N371" s="396"/>
      <c r="O371" s="396"/>
      <c r="P371" s="396"/>
      <c r="Q371" s="383">
        <f t="shared" si="44"/>
        <v>0</v>
      </c>
      <c r="R371" s="418"/>
      <c r="S371" s="435"/>
      <c r="T371" s="435"/>
      <c r="U371" s="435"/>
      <c r="V371" s="435"/>
      <c r="W371" s="435"/>
      <c r="X371" s="435"/>
      <c r="Y371" s="435"/>
      <c r="Z371" s="435"/>
      <c r="AA371" s="435"/>
      <c r="AB371" s="435"/>
      <c r="AC371" s="435"/>
      <c r="AD371" s="435"/>
      <c r="AE371" s="435"/>
      <c r="AF371" s="435"/>
      <c r="AG371" s="435"/>
      <c r="AH371" s="435"/>
      <c r="AI371" s="435"/>
      <c r="AJ371" s="435"/>
      <c r="AK371" s="435"/>
      <c r="AL371" s="435"/>
      <c r="AM371" s="435"/>
      <c r="AN371" s="435"/>
      <c r="AO371" s="435"/>
    </row>
    <row r="372" spans="1:41" ht="18">
      <c r="A372" s="344" t="s">
        <v>947</v>
      </c>
      <c r="B372" s="345"/>
      <c r="C372" s="345"/>
      <c r="D372" s="345"/>
      <c r="E372" s="345"/>
      <c r="F372" s="345"/>
      <c r="G372" s="345"/>
      <c r="H372" s="345"/>
      <c r="Q372" s="383">
        <f t="shared" si="44"/>
        <v>0</v>
      </c>
    </row>
    <row r="373" spans="1:41">
      <c r="A373" s="350"/>
      <c r="B373" s="346"/>
      <c r="C373" s="346"/>
      <c r="D373" s="346"/>
      <c r="E373" s="346"/>
      <c r="F373" s="346"/>
      <c r="G373" s="346"/>
      <c r="H373" s="346"/>
      <c r="Q373" s="383">
        <f t="shared" si="44"/>
        <v>0</v>
      </c>
    </row>
    <row r="374" spans="1:41" ht="15.75">
      <c r="A374" s="352" t="s">
        <v>906</v>
      </c>
      <c r="B374" s="346"/>
      <c r="C374" s="346"/>
      <c r="D374" s="346"/>
      <c r="E374" s="346"/>
      <c r="F374" s="346"/>
      <c r="G374" s="346"/>
      <c r="H374" s="346"/>
      <c r="Q374" s="383">
        <f t="shared" si="44"/>
        <v>0</v>
      </c>
    </row>
    <row r="375" spans="1:41" ht="15.75">
      <c r="A375" s="352" t="s">
        <v>978</v>
      </c>
      <c r="B375" s="346"/>
      <c r="C375" s="346"/>
      <c r="D375" s="346"/>
      <c r="E375" s="346"/>
      <c r="F375" s="346"/>
      <c r="G375" s="346"/>
      <c r="H375" s="346"/>
      <c r="Q375" s="383">
        <f t="shared" si="44"/>
        <v>0</v>
      </c>
    </row>
    <row r="376" spans="1:41">
      <c r="A376" s="355"/>
      <c r="B376" s="356"/>
      <c r="C376" s="356"/>
      <c r="D376" s="356"/>
      <c r="E376" s="356"/>
      <c r="F376" s="356"/>
      <c r="G376" s="356"/>
      <c r="H376" s="356"/>
      <c r="Q376" s="383">
        <f t="shared" si="44"/>
        <v>0</v>
      </c>
    </row>
    <row r="377" spans="1:41">
      <c r="A377" s="360"/>
      <c r="B377" s="361" t="s">
        <v>908</v>
      </c>
      <c r="C377" s="361"/>
      <c r="D377" s="361"/>
      <c r="E377" s="361"/>
      <c r="F377" s="361"/>
      <c r="G377" s="361"/>
      <c r="H377" s="362"/>
      <c r="Q377" s="383">
        <f t="shared" si="44"/>
        <v>0</v>
      </c>
    </row>
    <row r="378" spans="1:41">
      <c r="A378" s="360"/>
      <c r="B378" s="361" t="s">
        <v>909</v>
      </c>
      <c r="C378" s="361"/>
      <c r="D378" s="506" t="s">
        <v>910</v>
      </c>
      <c r="E378" s="504"/>
      <c r="F378" s="504"/>
      <c r="G378" s="504"/>
      <c r="H378" s="368" t="s">
        <v>800</v>
      </c>
      <c r="Q378" s="383">
        <f t="shared" si="44"/>
        <v>0</v>
      </c>
    </row>
    <row r="379" spans="1:41" ht="36">
      <c r="A379" s="360"/>
      <c r="B379" s="369" t="s">
        <v>911</v>
      </c>
      <c r="C379" s="370" t="s">
        <v>912</v>
      </c>
      <c r="D379" s="371" t="s">
        <v>913</v>
      </c>
      <c r="E379" s="372" t="s">
        <v>10</v>
      </c>
      <c r="F379" s="369" t="s">
        <v>914</v>
      </c>
      <c r="G379" s="373" t="s">
        <v>924</v>
      </c>
      <c r="H379" s="374" t="s">
        <v>916</v>
      </c>
      <c r="Q379" s="383">
        <f t="shared" si="44"/>
        <v>0</v>
      </c>
    </row>
    <row r="380" spans="1:41" ht="15.75" customHeight="1">
      <c r="A380" s="404" t="s">
        <v>885</v>
      </c>
      <c r="B380" s="431">
        <f>('Pivot Table for Data Exchange'!$R$7)*100</f>
        <v>82.846934804909978</v>
      </c>
      <c r="C380" s="378">
        <f>('Pivot Table for Data Exchange'!$R$10)*100</f>
        <v>5.756600280637211</v>
      </c>
      <c r="D380" s="379">
        <f>SUM(E380:G380)</f>
        <v>11.396464914452817</v>
      </c>
      <c r="E380" s="378">
        <f>('Pivot Table for Data Exchange'!$R$13)*100</f>
        <v>11.396464914452817</v>
      </c>
      <c r="F380" s="378">
        <f>('Pivot Table for Data Exchange'!$R$16)*100</f>
        <v>0</v>
      </c>
      <c r="G380" s="382">
        <f>('Pivot Table for Data Exchange'!$R$19)*100</f>
        <v>0</v>
      </c>
      <c r="H380" s="378">
        <f>('Pivot Table for Data Exchange'!$R$22)*100</f>
        <v>0</v>
      </c>
      <c r="I380" s="349"/>
      <c r="J380" s="417"/>
      <c r="K380" s="417"/>
      <c r="L380" s="417"/>
      <c r="M380" s="417"/>
      <c r="N380" s="417"/>
      <c r="O380" s="417"/>
      <c r="P380" s="417"/>
      <c r="Q380" s="383">
        <f t="shared" si="44"/>
        <v>100.00000000000001</v>
      </c>
      <c r="R380" s="383"/>
      <c r="S380" s="432"/>
      <c r="T380" s="432"/>
      <c r="U380" s="432"/>
      <c r="V380" s="432"/>
      <c r="W380" s="432"/>
      <c r="X380" s="432"/>
      <c r="Y380" s="432"/>
      <c r="Z380" s="432"/>
      <c r="AA380" s="432"/>
      <c r="AB380" s="432"/>
      <c r="AC380" s="432"/>
      <c r="AD380" s="432"/>
      <c r="AE380" s="432"/>
      <c r="AF380" s="432"/>
      <c r="AG380" s="432"/>
      <c r="AH380" s="432"/>
      <c r="AI380" s="432"/>
      <c r="AJ380" s="432"/>
      <c r="AK380" s="432"/>
      <c r="AL380" s="432"/>
      <c r="AM380" s="432"/>
      <c r="AN380" s="432"/>
      <c r="AO380" s="432"/>
    </row>
    <row r="381" spans="1:41" ht="15.75" customHeight="1">
      <c r="A381" s="349" t="s">
        <v>886</v>
      </c>
      <c r="B381" s="378">
        <f>('Pivot Table for Data Exchange'!$R$43)*100</f>
        <v>0</v>
      </c>
      <c r="C381" s="378">
        <f>('Pivot Table for Data Exchange'!$R$46)*100</f>
        <v>0</v>
      </c>
      <c r="D381" s="379">
        <f t="shared" ref="D381:D383" si="47">SUM(E381:G381)</f>
        <v>0</v>
      </c>
      <c r="E381" s="378">
        <f>('Pivot Table for Data Exchange'!$R$49)*100</f>
        <v>0</v>
      </c>
      <c r="F381" s="378">
        <f>('Pivot Table for Data Exchange'!$R$52)*100</f>
        <v>0</v>
      </c>
      <c r="G381" s="386">
        <f>('Pivot Table for Data Exchange'!$R$55)*100</f>
        <v>0</v>
      </c>
      <c r="H381" s="378">
        <f>('Pivot Table for Data Exchange'!$R$58)*100</f>
        <v>0</v>
      </c>
      <c r="I381" s="349"/>
      <c r="J381" s="417"/>
      <c r="K381" s="417"/>
      <c r="L381" s="417"/>
      <c r="M381" s="417"/>
      <c r="N381" s="417"/>
      <c r="O381" s="417"/>
      <c r="P381" s="417"/>
      <c r="Q381" s="383">
        <f t="shared" si="44"/>
        <v>0</v>
      </c>
      <c r="R381" s="383"/>
      <c r="S381" s="432"/>
      <c r="T381" s="432"/>
      <c r="U381" s="432"/>
      <c r="V381" s="432"/>
      <c r="W381" s="432"/>
      <c r="X381" s="432"/>
      <c r="Y381" s="432"/>
      <c r="Z381" s="432"/>
      <c r="AA381" s="432"/>
      <c r="AB381" s="432"/>
      <c r="AC381" s="432"/>
      <c r="AD381" s="432"/>
      <c r="AE381" s="432"/>
      <c r="AF381" s="432"/>
      <c r="AG381" s="432"/>
      <c r="AH381" s="432"/>
      <c r="AI381" s="432"/>
      <c r="AJ381" s="432"/>
      <c r="AK381" s="432"/>
      <c r="AL381" s="432"/>
      <c r="AM381" s="432"/>
      <c r="AN381" s="432"/>
      <c r="AO381" s="432"/>
    </row>
    <row r="382" spans="1:41" ht="15.75" customHeight="1">
      <c r="A382" s="349" t="s">
        <v>887</v>
      </c>
      <c r="B382" s="378">
        <f>('Pivot Table for Data Exchange'!$R$79)*100</f>
        <v>0</v>
      </c>
      <c r="C382" s="378">
        <f>('Pivot Table for Data Exchange'!$R$82)*100</f>
        <v>0</v>
      </c>
      <c r="D382" s="379">
        <f t="shared" si="47"/>
        <v>0</v>
      </c>
      <c r="E382" s="378">
        <f>('Pivot Table for Data Exchange'!$R$85)*100</f>
        <v>0</v>
      </c>
      <c r="F382" s="378">
        <f>('Pivot Table for Data Exchange'!$R$88)*100</f>
        <v>0</v>
      </c>
      <c r="G382" s="386">
        <f>('Pivot Table for Data Exchange'!$R$91)*100</f>
        <v>0</v>
      </c>
      <c r="H382" s="378">
        <f>('Pivot Table for Data Exchange'!$R$94)*100</f>
        <v>0</v>
      </c>
      <c r="I382" s="349"/>
      <c r="J382" s="417"/>
      <c r="K382" s="417"/>
      <c r="L382" s="417"/>
      <c r="M382" s="417"/>
      <c r="N382" s="417"/>
      <c r="O382" s="417"/>
      <c r="P382" s="417"/>
      <c r="Q382" s="383">
        <f t="shared" si="44"/>
        <v>0</v>
      </c>
      <c r="R382" s="383"/>
      <c r="S382" s="432"/>
      <c r="T382" s="436"/>
      <c r="U382" s="432"/>
      <c r="V382" s="432"/>
      <c r="W382" s="432"/>
      <c r="X382" s="432"/>
      <c r="Y382" s="432"/>
      <c r="Z382" s="432"/>
      <c r="AA382" s="432"/>
      <c r="AB382" s="432"/>
      <c r="AC382" s="432"/>
      <c r="AD382" s="432"/>
      <c r="AE382" s="432"/>
      <c r="AF382" s="432"/>
      <c r="AG382" s="432"/>
      <c r="AH382" s="432"/>
      <c r="AI382" s="432"/>
      <c r="AJ382" s="432"/>
      <c r="AK382" s="432"/>
      <c r="AL382" s="432"/>
      <c r="AM382" s="432"/>
      <c r="AN382" s="432"/>
      <c r="AO382" s="432"/>
    </row>
    <row r="383" spans="1:41" ht="15.75" customHeight="1">
      <c r="A383" s="349" t="s">
        <v>888</v>
      </c>
      <c r="B383" s="378">
        <f>('Pivot Table for Data Exchange'!$R$115)*100</f>
        <v>0</v>
      </c>
      <c r="C383" s="378">
        <f>('Pivot Table for Data Exchange'!$R$118)*100</f>
        <v>0</v>
      </c>
      <c r="D383" s="379">
        <f t="shared" si="47"/>
        <v>0</v>
      </c>
      <c r="E383" s="378">
        <f>('Pivot Table for Data Exchange'!$R$121)*100</f>
        <v>0</v>
      </c>
      <c r="F383" s="378">
        <f>('Pivot Table for Data Exchange'!$R$124)*100</f>
        <v>0</v>
      </c>
      <c r="G383" s="386">
        <f>('Pivot Table for Data Exchange'!$R$127)*100</f>
        <v>0</v>
      </c>
      <c r="H383" s="378">
        <f>('Pivot Table for Data Exchange'!$R$130)*100</f>
        <v>0</v>
      </c>
      <c r="I383" s="349"/>
      <c r="J383" s="417"/>
      <c r="K383" s="417"/>
      <c r="L383" s="417"/>
      <c r="M383" s="417"/>
      <c r="N383" s="417"/>
      <c r="O383" s="417"/>
      <c r="P383" s="417"/>
      <c r="Q383" s="383">
        <f t="shared" si="44"/>
        <v>0</v>
      </c>
      <c r="R383" s="383"/>
      <c r="S383" s="432"/>
      <c r="U383" s="432"/>
      <c r="V383" s="432"/>
      <c r="W383" s="432"/>
      <c r="X383" s="432"/>
      <c r="Y383" s="432"/>
      <c r="Z383" s="432"/>
      <c r="AA383" s="432"/>
      <c r="AB383" s="432"/>
      <c r="AC383" s="432"/>
      <c r="AD383" s="432"/>
      <c r="AE383" s="432"/>
      <c r="AF383" s="432"/>
      <c r="AG383" s="432"/>
      <c r="AH383" s="432"/>
      <c r="AI383" s="432"/>
      <c r="AJ383" s="432"/>
      <c r="AK383" s="432"/>
      <c r="AL383" s="432"/>
      <c r="AM383" s="432"/>
      <c r="AN383" s="432"/>
      <c r="AO383" s="432"/>
    </row>
    <row r="384" spans="1:41" ht="15.75" customHeight="1">
      <c r="B384" s="378"/>
      <c r="C384" s="378"/>
      <c r="D384" s="379"/>
      <c r="E384" s="378"/>
      <c r="F384" s="378"/>
      <c r="G384" s="386"/>
      <c r="H384" s="378"/>
      <c r="I384" s="349"/>
      <c r="J384" s="417"/>
      <c r="K384" s="417"/>
      <c r="L384" s="417"/>
      <c r="M384" s="417"/>
      <c r="N384" s="417"/>
      <c r="O384" s="417"/>
      <c r="P384" s="417"/>
      <c r="Q384" s="383">
        <f t="shared" si="44"/>
        <v>0</v>
      </c>
      <c r="R384" s="383"/>
      <c r="S384" s="432"/>
      <c r="U384" s="432"/>
      <c r="V384" s="432"/>
      <c r="W384" s="432"/>
      <c r="X384" s="432"/>
      <c r="Y384" s="432"/>
      <c r="Z384" s="432"/>
      <c r="AA384" s="432"/>
      <c r="AB384" s="432"/>
      <c r="AC384" s="432"/>
      <c r="AD384" s="432"/>
      <c r="AE384" s="432"/>
      <c r="AF384" s="432"/>
      <c r="AG384" s="432"/>
      <c r="AH384" s="432"/>
      <c r="AI384" s="432"/>
      <c r="AJ384" s="432"/>
      <c r="AK384" s="432"/>
      <c r="AL384" s="432"/>
      <c r="AM384" s="432"/>
      <c r="AN384" s="432"/>
      <c r="AO384" s="432"/>
    </row>
    <row r="385" spans="1:41" ht="15.75" customHeight="1">
      <c r="A385" s="349" t="s">
        <v>889</v>
      </c>
      <c r="B385" s="378">
        <f>('Pivot Table for Data Exchange'!$R$151)*100</f>
        <v>66.080643318978389</v>
      </c>
      <c r="C385" s="378">
        <f>('Pivot Table for Data Exchange'!$R$154)*100</f>
        <v>0</v>
      </c>
      <c r="D385" s="379">
        <f t="shared" ref="D385:D386" si="48">SUM(E385:G385)</f>
        <v>33.919356681021604</v>
      </c>
      <c r="E385" s="378">
        <f>('Pivot Table for Data Exchange'!$R$157)*100</f>
        <v>33.335520006753896</v>
      </c>
      <c r="F385" s="378">
        <f>('Pivot Table for Data Exchange'!$R$160)*100</f>
        <v>0.58383667426770758</v>
      </c>
      <c r="G385" s="386">
        <f>('Pivot Table for Data Exchange'!$R$163)*100</f>
        <v>0</v>
      </c>
      <c r="H385" s="378">
        <f>('Pivot Table for Data Exchange'!$R$166)*100</f>
        <v>0</v>
      </c>
      <c r="I385" s="349"/>
      <c r="J385" s="417"/>
      <c r="K385" s="417"/>
      <c r="L385" s="417"/>
      <c r="M385" s="417"/>
      <c r="N385" s="417"/>
      <c r="O385" s="417"/>
      <c r="P385" s="417"/>
      <c r="Q385" s="383">
        <f t="shared" si="44"/>
        <v>100</v>
      </c>
      <c r="R385" s="383"/>
      <c r="S385" s="432"/>
      <c r="T385" s="432"/>
      <c r="U385" s="432"/>
      <c r="V385" s="432"/>
      <c r="W385" s="432"/>
      <c r="X385" s="432"/>
      <c r="Y385" s="432"/>
      <c r="Z385" s="432"/>
      <c r="AA385" s="432"/>
      <c r="AB385" s="432"/>
      <c r="AC385" s="432"/>
      <c r="AD385" s="432"/>
      <c r="AE385" s="432"/>
      <c r="AF385" s="432"/>
      <c r="AG385" s="432"/>
      <c r="AH385" s="432"/>
      <c r="AI385" s="432"/>
      <c r="AJ385" s="432"/>
      <c r="AK385" s="432"/>
      <c r="AL385" s="432"/>
      <c r="AM385" s="432"/>
      <c r="AN385" s="432"/>
      <c r="AO385" s="432"/>
    </row>
    <row r="386" spans="1:41" ht="15.75" customHeight="1">
      <c r="A386" s="349" t="s">
        <v>890</v>
      </c>
      <c r="B386" s="378">
        <f>('Pivot Table for Data Exchange'!$R$187)*100</f>
        <v>63.034016451519307</v>
      </c>
      <c r="C386" s="378">
        <f>('Pivot Table for Data Exchange'!$R$190)*100</f>
        <v>5.3275120957130229</v>
      </c>
      <c r="D386" s="379">
        <f t="shared" si="48"/>
        <v>31.638471452767675</v>
      </c>
      <c r="E386" s="378">
        <f>('Pivot Table for Data Exchange'!$R$193)*100</f>
        <v>31.638471452767675</v>
      </c>
      <c r="F386" s="378">
        <f>('Pivot Table for Data Exchange'!$R$196)*100</f>
        <v>0</v>
      </c>
      <c r="G386" s="386">
        <f>('Pivot Table for Data Exchange'!$R$199)*100</f>
        <v>0</v>
      </c>
      <c r="H386" s="378">
        <f>('Pivot Table for Data Exchange'!$R$202)*100</f>
        <v>0</v>
      </c>
      <c r="I386" s="349"/>
      <c r="J386" s="417"/>
      <c r="K386" s="417"/>
      <c r="L386" s="417"/>
      <c r="M386" s="417"/>
      <c r="N386" s="417"/>
      <c r="O386" s="417"/>
      <c r="P386" s="417"/>
      <c r="Q386" s="383">
        <f t="shared" si="44"/>
        <v>100</v>
      </c>
      <c r="R386" s="383"/>
      <c r="S386" s="432"/>
      <c r="T386" s="432"/>
      <c r="U386" s="432"/>
      <c r="V386" s="432"/>
      <c r="W386" s="432"/>
      <c r="X386" s="432"/>
      <c r="Y386" s="432"/>
      <c r="Z386" s="432"/>
      <c r="AA386" s="432"/>
      <c r="AB386" s="432"/>
      <c r="AC386" s="432"/>
      <c r="AD386" s="432"/>
      <c r="AE386" s="432"/>
      <c r="AF386" s="432"/>
      <c r="AG386" s="432"/>
      <c r="AH386" s="432"/>
      <c r="AI386" s="432"/>
      <c r="AJ386" s="432"/>
      <c r="AK386" s="432"/>
      <c r="AL386" s="432"/>
      <c r="AM386" s="432"/>
      <c r="AN386" s="432"/>
      <c r="AO386" s="432"/>
    </row>
    <row r="387" spans="1:41" ht="15.75" customHeight="1">
      <c r="A387" s="349" t="s">
        <v>891</v>
      </c>
      <c r="B387" s="378">
        <f>('Pivot Table for Data Exchange'!$R$223)*100</f>
        <v>85.049681222156266</v>
      </c>
      <c r="C387" s="378">
        <f>('Pivot Table for Data Exchange'!$R$226)*100</f>
        <v>0</v>
      </c>
      <c r="D387" s="379">
        <f>SUM(E387:G387)</f>
        <v>14.950318777843735</v>
      </c>
      <c r="E387" s="378">
        <f>('Pivot Table for Data Exchange'!$R$229)*100</f>
        <v>14.950318777843735</v>
      </c>
      <c r="F387" s="378">
        <f>('Pivot Table for Data Exchange'!$R$232)*100</f>
        <v>0</v>
      </c>
      <c r="G387" s="386">
        <f>('Pivot Table for Data Exchange'!$R$235)*100</f>
        <v>0</v>
      </c>
      <c r="H387" s="378">
        <f>('Pivot Table for Data Exchange'!$R$238)*100</f>
        <v>0</v>
      </c>
      <c r="I387" s="424"/>
      <c r="J387" s="417"/>
      <c r="K387" s="417"/>
      <c r="L387" s="417"/>
      <c r="M387" s="417"/>
      <c r="N387" s="417"/>
      <c r="O387" s="417"/>
      <c r="P387" s="417"/>
      <c r="Q387" s="383">
        <f t="shared" si="44"/>
        <v>100</v>
      </c>
      <c r="R387" s="383"/>
      <c r="S387" s="432"/>
      <c r="T387" s="436"/>
      <c r="U387" s="432"/>
      <c r="V387" s="432"/>
      <c r="W387" s="432"/>
      <c r="X387" s="432"/>
      <c r="Y387" s="432"/>
      <c r="Z387" s="432"/>
      <c r="AA387" s="432"/>
      <c r="AB387" s="432"/>
      <c r="AC387" s="432"/>
      <c r="AD387" s="432"/>
      <c r="AE387" s="432"/>
      <c r="AF387" s="432"/>
      <c r="AG387" s="432"/>
      <c r="AH387" s="432"/>
      <c r="AI387" s="432"/>
      <c r="AJ387" s="432"/>
      <c r="AK387" s="432"/>
      <c r="AL387" s="432"/>
      <c r="AM387" s="432"/>
      <c r="AN387" s="432"/>
      <c r="AO387" s="432"/>
    </row>
    <row r="388" spans="1:41" ht="15.75" customHeight="1">
      <c r="A388" s="349" t="s">
        <v>892</v>
      </c>
      <c r="B388" s="378">
        <f>('Pivot Table for Data Exchange'!$R$259)*100</f>
        <v>0</v>
      </c>
      <c r="C388" s="378">
        <f>('Pivot Table for Data Exchange'!$R$262)*100</f>
        <v>0</v>
      </c>
      <c r="D388" s="379">
        <f>SUM(E388:G388)</f>
        <v>0</v>
      </c>
      <c r="E388" s="378">
        <f>('Pivot Table for Data Exchange'!$R$265)*100</f>
        <v>0</v>
      </c>
      <c r="F388" s="378">
        <f>('Pivot Table for Data Exchange'!$R$268)*100</f>
        <v>0</v>
      </c>
      <c r="G388" s="386">
        <f>('Pivot Table for Data Exchange'!$R$271)*100</f>
        <v>0</v>
      </c>
      <c r="H388" s="378">
        <f>('Pivot Table for Data Exchange'!$R$274)*100</f>
        <v>0</v>
      </c>
      <c r="I388" s="349"/>
      <c r="J388" s="417"/>
      <c r="K388" s="417"/>
      <c r="L388" s="417"/>
      <c r="M388" s="417"/>
      <c r="N388" s="417"/>
      <c r="O388" s="417"/>
      <c r="P388" s="417"/>
      <c r="Q388" s="383">
        <f t="shared" si="44"/>
        <v>0</v>
      </c>
      <c r="R388" s="383"/>
      <c r="S388" s="432"/>
      <c r="U388" s="432"/>
      <c r="V388" s="432"/>
      <c r="W388" s="432"/>
      <c r="X388" s="432"/>
      <c r="Y388" s="432"/>
      <c r="Z388" s="432"/>
      <c r="AA388" s="432"/>
      <c r="AB388" s="432"/>
      <c r="AC388" s="432"/>
      <c r="AD388" s="432"/>
      <c r="AE388" s="432"/>
      <c r="AF388" s="432"/>
      <c r="AG388" s="432"/>
      <c r="AH388" s="432"/>
      <c r="AI388" s="432"/>
      <c r="AJ388" s="432"/>
      <c r="AK388" s="432"/>
      <c r="AL388" s="432"/>
      <c r="AM388" s="432"/>
      <c r="AN388" s="432"/>
      <c r="AO388" s="432"/>
    </row>
    <row r="389" spans="1:41" ht="15.75" customHeight="1">
      <c r="B389" s="378"/>
      <c r="C389" s="378"/>
      <c r="D389" s="379"/>
      <c r="E389" s="378"/>
      <c r="F389" s="378"/>
      <c r="G389" s="386"/>
      <c r="H389" s="378"/>
      <c r="I389" s="349"/>
      <c r="J389" s="417"/>
      <c r="K389" s="417"/>
      <c r="L389" s="417"/>
      <c r="M389" s="417"/>
      <c r="N389" s="417"/>
      <c r="O389" s="417"/>
      <c r="P389" s="417"/>
      <c r="Q389" s="383">
        <f t="shared" si="44"/>
        <v>0</v>
      </c>
      <c r="R389" s="383"/>
      <c r="S389" s="432"/>
      <c r="U389" s="432"/>
      <c r="V389" s="432"/>
      <c r="W389" s="432"/>
      <c r="X389" s="432"/>
      <c r="Y389" s="432"/>
      <c r="Z389" s="432"/>
      <c r="AA389" s="432"/>
      <c r="AB389" s="432"/>
      <c r="AC389" s="432"/>
      <c r="AD389" s="432"/>
      <c r="AE389" s="432"/>
      <c r="AF389" s="432"/>
      <c r="AG389" s="432"/>
      <c r="AH389" s="432"/>
      <c r="AI389" s="432"/>
      <c r="AJ389" s="432"/>
      <c r="AK389" s="432"/>
      <c r="AL389" s="432"/>
      <c r="AM389" s="432"/>
      <c r="AN389" s="432"/>
      <c r="AO389" s="432"/>
    </row>
    <row r="390" spans="1:41" ht="15.75" customHeight="1">
      <c r="A390" s="349" t="s">
        <v>893</v>
      </c>
      <c r="B390" s="378">
        <f>('Pivot Table for Data Exchange'!$R$295)*100</f>
        <v>0</v>
      </c>
      <c r="C390" s="378">
        <f>('Pivot Table for Data Exchange'!$R$298)*100</f>
        <v>0</v>
      </c>
      <c r="D390" s="379">
        <f>SUM(E390:G390)</f>
        <v>0</v>
      </c>
      <c r="E390" s="378">
        <f>('Pivot Table for Data Exchange'!$R$301)*100</f>
        <v>0</v>
      </c>
      <c r="F390" s="378">
        <f>('Pivot Table for Data Exchange'!$R$304)*100</f>
        <v>0</v>
      </c>
      <c r="G390" s="386">
        <f>('Pivot Table for Data Exchange'!$R$307)*100</f>
        <v>0</v>
      </c>
      <c r="H390" s="378">
        <f>('Pivot Table for Data Exchange'!$R$310)*100</f>
        <v>0</v>
      </c>
      <c r="I390" s="349"/>
      <c r="J390" s="417"/>
      <c r="K390" s="417"/>
      <c r="L390" s="417"/>
      <c r="M390" s="417"/>
      <c r="N390" s="417"/>
      <c r="O390" s="417"/>
      <c r="P390" s="417"/>
      <c r="Q390" s="383">
        <f t="shared" si="44"/>
        <v>0</v>
      </c>
      <c r="R390" s="383"/>
      <c r="S390" s="432"/>
      <c r="T390" s="432"/>
      <c r="U390" s="432"/>
      <c r="V390" s="432"/>
      <c r="W390" s="432"/>
      <c r="X390" s="432"/>
      <c r="Y390" s="432"/>
      <c r="Z390" s="432"/>
      <c r="AA390" s="432"/>
      <c r="AB390" s="432"/>
      <c r="AC390" s="432"/>
      <c r="AD390" s="432"/>
      <c r="AE390" s="432"/>
      <c r="AF390" s="432"/>
      <c r="AG390" s="432"/>
      <c r="AH390" s="432"/>
      <c r="AI390" s="432"/>
      <c r="AJ390" s="432"/>
      <c r="AK390" s="432"/>
      <c r="AL390" s="432"/>
      <c r="AM390" s="432"/>
      <c r="AN390" s="432"/>
      <c r="AO390" s="432"/>
    </row>
    <row r="391" spans="1:41" ht="15.75" customHeight="1">
      <c r="A391" s="349" t="s">
        <v>894</v>
      </c>
      <c r="B391" s="378">
        <f>('Pivot Table for Data Exchange'!$R$331)*100</f>
        <v>0</v>
      </c>
      <c r="C391" s="378">
        <f>('Pivot Table for Data Exchange'!$R$334)*100</f>
        <v>0</v>
      </c>
      <c r="D391" s="379">
        <f>SUM(E391:G391)</f>
        <v>0</v>
      </c>
      <c r="E391" s="378">
        <f>('Pivot Table for Data Exchange'!$R$337)*100</f>
        <v>0</v>
      </c>
      <c r="F391" s="378">
        <f>('Pivot Table for Data Exchange'!$R$340)*100</f>
        <v>0</v>
      </c>
      <c r="G391" s="386">
        <f>('Pivot Table for Data Exchange'!$R$343)*100</f>
        <v>0</v>
      </c>
      <c r="H391" s="378">
        <f>('Pivot Table for Data Exchange'!$R$346)*100</f>
        <v>0</v>
      </c>
      <c r="I391" s="349"/>
      <c r="J391" s="417"/>
      <c r="K391" s="417"/>
      <c r="L391" s="417"/>
      <c r="M391" s="417"/>
      <c r="N391" s="417"/>
      <c r="O391" s="417"/>
      <c r="P391" s="417"/>
      <c r="Q391" s="383">
        <f t="shared" si="44"/>
        <v>0</v>
      </c>
      <c r="R391" s="383"/>
      <c r="S391" s="432"/>
      <c r="T391" s="432"/>
      <c r="U391" s="432"/>
      <c r="V391" s="432"/>
      <c r="W391" s="432"/>
      <c r="X391" s="432"/>
      <c r="Y391" s="432"/>
      <c r="Z391" s="432"/>
      <c r="AA391" s="432"/>
      <c r="AB391" s="432"/>
      <c r="AC391" s="432"/>
      <c r="AD391" s="432"/>
      <c r="AE391" s="432"/>
      <c r="AF391" s="432"/>
      <c r="AG391" s="432"/>
      <c r="AH391" s="432"/>
      <c r="AI391" s="432"/>
      <c r="AJ391" s="432"/>
      <c r="AK391" s="432"/>
      <c r="AL391" s="432"/>
      <c r="AM391" s="432"/>
      <c r="AN391" s="432"/>
      <c r="AO391" s="432"/>
    </row>
    <row r="392" spans="1:41" ht="15.75" customHeight="1">
      <c r="A392" s="349" t="s">
        <v>895</v>
      </c>
      <c r="B392" s="378">
        <f>('Pivot Table for Data Exchange'!$R$367)*100</f>
        <v>0</v>
      </c>
      <c r="C392" s="378">
        <f>('Pivot Table for Data Exchange'!$R$370)*100</f>
        <v>0</v>
      </c>
      <c r="D392" s="379">
        <f>SUM(E392:G392)</f>
        <v>0</v>
      </c>
      <c r="E392" s="378">
        <f>('Pivot Table for Data Exchange'!$R$373)*100</f>
        <v>0</v>
      </c>
      <c r="F392" s="378">
        <f>('Pivot Table for Data Exchange'!$R$376)*100</f>
        <v>0</v>
      </c>
      <c r="G392" s="386">
        <f>('Pivot Table for Data Exchange'!$R$379)*100</f>
        <v>0</v>
      </c>
      <c r="H392" s="378">
        <f>('Pivot Table for Data Exchange'!$R$382)*100</f>
        <v>0</v>
      </c>
      <c r="I392" s="349"/>
      <c r="J392" s="417"/>
      <c r="K392" s="417"/>
      <c r="L392" s="417"/>
      <c r="M392" s="417"/>
      <c r="N392" s="417"/>
      <c r="O392" s="417"/>
      <c r="P392" s="417"/>
      <c r="Q392" s="383">
        <f t="shared" si="44"/>
        <v>0</v>
      </c>
      <c r="R392" s="383"/>
      <c r="S392" s="432"/>
      <c r="T392" s="436"/>
      <c r="U392" s="432"/>
      <c r="V392" s="432"/>
      <c r="W392" s="432"/>
      <c r="X392" s="432"/>
      <c r="Y392" s="432"/>
      <c r="Z392" s="432"/>
      <c r="AA392" s="432"/>
      <c r="AB392" s="432"/>
      <c r="AC392" s="432"/>
      <c r="AD392" s="432"/>
      <c r="AE392" s="432"/>
      <c r="AF392" s="432"/>
      <c r="AG392" s="432"/>
      <c r="AH392" s="432"/>
      <c r="AI392" s="432"/>
      <c r="AJ392" s="432"/>
      <c r="AK392" s="432"/>
      <c r="AL392" s="432"/>
      <c r="AM392" s="432"/>
      <c r="AN392" s="432"/>
      <c r="AO392" s="432"/>
    </row>
    <row r="393" spans="1:41" ht="15.75" customHeight="1">
      <c r="A393" s="349" t="s">
        <v>896</v>
      </c>
      <c r="B393" s="378">
        <f>('Pivot Table for Data Exchange'!$R$403)*100</f>
        <v>0</v>
      </c>
      <c r="C393" s="378">
        <f>('Pivot Table for Data Exchange'!$R$406)*100</f>
        <v>0</v>
      </c>
      <c r="D393" s="379">
        <f>SUM(E393:G393)</f>
        <v>0</v>
      </c>
      <c r="E393" s="378">
        <f>('Pivot Table for Data Exchange'!$R$409)*100</f>
        <v>0</v>
      </c>
      <c r="F393" s="378">
        <f>('Pivot Table for Data Exchange'!$R$412)*100</f>
        <v>0</v>
      </c>
      <c r="G393" s="386">
        <f>('Pivot Table for Data Exchange'!$R$415)*100</f>
        <v>0</v>
      </c>
      <c r="H393" s="378">
        <f>('Pivot Table for Data Exchange'!$R$418)*100</f>
        <v>0</v>
      </c>
      <c r="I393" s="349"/>
      <c r="J393" s="417"/>
      <c r="K393" s="417"/>
      <c r="L393" s="417"/>
      <c r="M393" s="417"/>
      <c r="N393" s="417"/>
      <c r="O393" s="417"/>
      <c r="P393" s="417"/>
      <c r="Q393" s="383">
        <f t="shared" si="44"/>
        <v>0</v>
      </c>
      <c r="R393" s="383"/>
      <c r="S393" s="432"/>
      <c r="T393" s="432"/>
      <c r="U393" s="432"/>
      <c r="V393" s="432"/>
      <c r="W393" s="432"/>
      <c r="X393" s="432"/>
      <c r="Y393" s="432"/>
      <c r="Z393" s="432"/>
      <c r="AA393" s="432"/>
      <c r="AB393" s="432"/>
      <c r="AC393" s="432"/>
      <c r="AD393" s="432"/>
      <c r="AE393" s="432"/>
      <c r="AF393" s="432"/>
      <c r="AG393" s="432"/>
      <c r="AH393" s="432"/>
      <c r="AI393" s="432"/>
      <c r="AJ393" s="432"/>
      <c r="AK393" s="432"/>
      <c r="AL393" s="432"/>
      <c r="AM393" s="432"/>
      <c r="AN393" s="432"/>
      <c r="AO393" s="432"/>
    </row>
    <row r="394" spans="1:41" ht="15.75" customHeight="1">
      <c r="B394" s="378"/>
      <c r="C394" s="378"/>
      <c r="D394" s="379"/>
      <c r="E394" s="378"/>
      <c r="F394" s="378"/>
      <c r="G394" s="386"/>
      <c r="H394" s="378"/>
      <c r="I394" s="349"/>
      <c r="J394" s="417"/>
      <c r="K394" s="417"/>
      <c r="L394" s="417"/>
      <c r="M394" s="417"/>
      <c r="N394" s="417"/>
      <c r="O394" s="417"/>
      <c r="P394" s="417"/>
      <c r="Q394" s="383">
        <f t="shared" si="44"/>
        <v>0</v>
      </c>
      <c r="R394" s="383"/>
      <c r="S394" s="432"/>
      <c r="T394" s="432"/>
      <c r="U394" s="432"/>
      <c r="V394" s="432"/>
      <c r="W394" s="432"/>
      <c r="X394" s="432"/>
      <c r="Y394" s="432"/>
      <c r="Z394" s="432"/>
      <c r="AA394" s="432"/>
      <c r="AB394" s="432"/>
      <c r="AC394" s="432"/>
      <c r="AD394" s="432"/>
      <c r="AE394" s="432"/>
      <c r="AF394" s="432"/>
      <c r="AG394" s="432"/>
      <c r="AH394" s="432"/>
      <c r="AI394" s="432"/>
      <c r="AJ394" s="432"/>
      <c r="AK394" s="432"/>
      <c r="AL394" s="432"/>
      <c r="AM394" s="432"/>
      <c r="AN394" s="432"/>
      <c r="AO394" s="432"/>
    </row>
    <row r="395" spans="1:41" ht="15.75" customHeight="1">
      <c r="A395" s="349" t="s">
        <v>897</v>
      </c>
      <c r="B395" s="378">
        <f>('Pivot Table for Data Exchange'!$R$439)*100</f>
        <v>0</v>
      </c>
      <c r="C395" s="378">
        <f>('Pivot Table for Data Exchange'!$R$442)*100</f>
        <v>0</v>
      </c>
      <c r="D395" s="379">
        <f>SUM(E395:G395)</f>
        <v>0</v>
      </c>
      <c r="E395" s="378">
        <f>('Pivot Table for Data Exchange'!$R$445)*100</f>
        <v>0</v>
      </c>
      <c r="F395" s="378">
        <f>('Pivot Table for Data Exchange'!$R$448)*100</f>
        <v>0</v>
      </c>
      <c r="G395" s="386">
        <f>('Pivot Table for Data Exchange'!$R$451)*100</f>
        <v>0</v>
      </c>
      <c r="H395" s="378">
        <f>('Pivot Table for Data Exchange'!$R$454)*100</f>
        <v>0</v>
      </c>
      <c r="I395" s="349"/>
      <c r="J395" s="417"/>
      <c r="K395" s="417"/>
      <c r="L395" s="417"/>
      <c r="M395" s="417"/>
      <c r="N395" s="417"/>
      <c r="O395" s="417"/>
      <c r="P395" s="417"/>
      <c r="Q395" s="383">
        <f t="shared" si="44"/>
        <v>0</v>
      </c>
      <c r="R395" s="383"/>
      <c r="S395" s="432"/>
      <c r="T395" s="432"/>
      <c r="U395" s="432"/>
      <c r="V395" s="432"/>
      <c r="W395" s="432"/>
      <c r="X395" s="432"/>
      <c r="Y395" s="432"/>
      <c r="Z395" s="432"/>
      <c r="AA395" s="432"/>
      <c r="AB395" s="432"/>
      <c r="AC395" s="432"/>
      <c r="AD395" s="432"/>
      <c r="AE395" s="432"/>
      <c r="AF395" s="432"/>
      <c r="AG395" s="432"/>
      <c r="AH395" s="432"/>
      <c r="AI395" s="432"/>
      <c r="AJ395" s="432"/>
      <c r="AK395" s="432"/>
      <c r="AL395" s="432"/>
      <c r="AM395" s="432"/>
      <c r="AN395" s="432"/>
      <c r="AO395" s="432"/>
    </row>
    <row r="396" spans="1:41" ht="15.75" customHeight="1">
      <c r="A396" s="349" t="s">
        <v>898</v>
      </c>
      <c r="B396" s="378">
        <f>('Pivot Table for Data Exchange'!$R$475)*100</f>
        <v>0</v>
      </c>
      <c r="C396" s="378">
        <f>('Pivot Table for Data Exchange'!$R$478)*100</f>
        <v>0</v>
      </c>
      <c r="D396" s="379">
        <f>SUM(E396:G396)</f>
        <v>0</v>
      </c>
      <c r="E396" s="378">
        <f>('Pivot Table for Data Exchange'!$R$481)*100</f>
        <v>0</v>
      </c>
      <c r="F396" s="378">
        <f>('Pivot Table for Data Exchange'!$R$484)*100</f>
        <v>0</v>
      </c>
      <c r="G396" s="386">
        <f>('Pivot Table for Data Exchange'!$R$487)*100</f>
        <v>0</v>
      </c>
      <c r="H396" s="378">
        <f>('Pivot Table for Data Exchange'!$R$490)*100</f>
        <v>0</v>
      </c>
      <c r="I396" s="349"/>
      <c r="J396" s="417"/>
      <c r="K396" s="417"/>
      <c r="L396" s="417"/>
      <c r="M396" s="417"/>
      <c r="N396" s="417"/>
      <c r="O396" s="417"/>
      <c r="P396" s="417"/>
      <c r="Q396" s="383">
        <f t="shared" si="44"/>
        <v>0</v>
      </c>
      <c r="R396" s="383"/>
      <c r="S396" s="432"/>
      <c r="T396" s="432"/>
      <c r="U396" s="432"/>
      <c r="V396" s="432"/>
      <c r="W396" s="432"/>
      <c r="X396" s="432"/>
      <c r="Y396" s="432"/>
      <c r="Z396" s="432"/>
      <c r="AA396" s="432"/>
      <c r="AB396" s="432"/>
      <c r="AC396" s="432"/>
      <c r="AD396" s="432"/>
      <c r="AE396" s="432"/>
      <c r="AF396" s="432"/>
      <c r="AG396" s="432"/>
      <c r="AH396" s="432"/>
      <c r="AI396" s="432"/>
      <c r="AJ396" s="432"/>
      <c r="AK396" s="432"/>
      <c r="AL396" s="432"/>
      <c r="AM396" s="432"/>
      <c r="AN396" s="432"/>
      <c r="AO396" s="432"/>
    </row>
    <row r="397" spans="1:41" ht="15.75" customHeight="1">
      <c r="A397" s="349" t="s">
        <v>899</v>
      </c>
      <c r="B397" s="378">
        <f>('Pivot Table for Data Exchange'!$R$511)*100</f>
        <v>0</v>
      </c>
      <c r="C397" s="378">
        <f>('Pivot Table for Data Exchange'!$R$514)*100</f>
        <v>0</v>
      </c>
      <c r="D397" s="379">
        <f>SUM(E397:G397)</f>
        <v>0</v>
      </c>
      <c r="E397" s="378">
        <f>('Pivot Table for Data Exchange'!$R$517)*100</f>
        <v>0</v>
      </c>
      <c r="F397" s="378">
        <f>('Pivot Table for Data Exchange'!$R$520)*100</f>
        <v>0</v>
      </c>
      <c r="G397" s="386">
        <f>('Pivot Table for Data Exchange'!$R$523)*100</f>
        <v>0</v>
      </c>
      <c r="H397" s="378">
        <f>('Pivot Table for Data Exchange'!$R$526)*100</f>
        <v>0</v>
      </c>
      <c r="I397" s="349"/>
      <c r="J397" s="417"/>
      <c r="K397" s="417"/>
      <c r="L397" s="417"/>
      <c r="M397" s="417"/>
      <c r="N397" s="417"/>
      <c r="O397" s="417"/>
      <c r="P397" s="417"/>
      <c r="Q397" s="383">
        <f t="shared" si="44"/>
        <v>0</v>
      </c>
      <c r="R397" s="383"/>
      <c r="S397" s="432"/>
      <c r="T397" s="432"/>
      <c r="U397" s="432"/>
      <c r="V397" s="432"/>
      <c r="W397" s="432"/>
      <c r="X397" s="432"/>
      <c r="Y397" s="432"/>
      <c r="Z397" s="432"/>
      <c r="AA397" s="432"/>
      <c r="AB397" s="432"/>
      <c r="AC397" s="432"/>
      <c r="AD397" s="432"/>
      <c r="AE397" s="432"/>
      <c r="AF397" s="432"/>
      <c r="AG397" s="432"/>
      <c r="AH397" s="432"/>
      <c r="AI397" s="432"/>
      <c r="AJ397" s="432"/>
      <c r="AK397" s="432"/>
      <c r="AL397" s="432"/>
      <c r="AM397" s="432"/>
      <c r="AN397" s="432"/>
      <c r="AO397" s="432"/>
    </row>
    <row r="398" spans="1:41" ht="15.75" customHeight="1">
      <c r="A398" s="355" t="s">
        <v>900</v>
      </c>
      <c r="B398" s="391">
        <f>('Pivot Table for Data Exchange'!$R$547)*100</f>
        <v>0</v>
      </c>
      <c r="C398" s="391">
        <f>('Pivot Table for Data Exchange'!$R$550)*100</f>
        <v>0</v>
      </c>
      <c r="D398" s="392">
        <f>SUM(E398:G398)</f>
        <v>0</v>
      </c>
      <c r="E398" s="391">
        <f>('Pivot Table for Data Exchange'!$R$553)*100</f>
        <v>0</v>
      </c>
      <c r="F398" s="391">
        <f>('Pivot Table for Data Exchange'!$R$556)*100</f>
        <v>0</v>
      </c>
      <c r="G398" s="393">
        <f>('Pivot Table for Data Exchange'!$R$559)*100</f>
        <v>0</v>
      </c>
      <c r="H398" s="391">
        <f>('Pivot Table for Data Exchange'!$R$562)*100</f>
        <v>0</v>
      </c>
      <c r="I398" s="349"/>
      <c r="J398" s="417"/>
      <c r="K398" s="417"/>
      <c r="L398" s="417"/>
      <c r="M398" s="417"/>
      <c r="N398" s="417"/>
      <c r="O398" s="417"/>
      <c r="P398" s="417"/>
      <c r="Q398" s="383">
        <f t="shared" si="44"/>
        <v>0</v>
      </c>
      <c r="R398" s="383"/>
      <c r="S398" s="432"/>
      <c r="T398" s="432"/>
      <c r="U398" s="432"/>
      <c r="V398" s="432"/>
      <c r="W398" s="432"/>
      <c r="X398" s="432"/>
      <c r="Y398" s="432"/>
      <c r="Z398" s="432"/>
      <c r="AA398" s="432"/>
      <c r="AB398" s="432"/>
      <c r="AC398" s="432"/>
      <c r="AD398" s="432"/>
      <c r="AE398" s="432"/>
      <c r="AF398" s="432"/>
      <c r="AG398" s="432"/>
      <c r="AH398" s="432"/>
      <c r="AI398" s="432"/>
      <c r="AJ398" s="432"/>
      <c r="AK398" s="432"/>
      <c r="AL398" s="432"/>
      <c r="AM398" s="432"/>
      <c r="AN398" s="432"/>
      <c r="AO398" s="432"/>
    </row>
    <row r="399" spans="1:41" s="422" customFormat="1" ht="14.25" customHeight="1">
      <c r="A399" s="397" t="s">
        <v>926</v>
      </c>
      <c r="B399" s="398"/>
      <c r="C399" s="398"/>
      <c r="D399" s="399"/>
      <c r="E399" s="398"/>
      <c r="F399" s="399"/>
      <c r="G399" s="399"/>
      <c r="H399" s="398"/>
      <c r="I399" s="407"/>
      <c r="J399" s="398"/>
      <c r="K399" s="398"/>
      <c r="L399" s="399"/>
      <c r="M399" s="398"/>
      <c r="N399" s="399"/>
      <c r="O399" s="399"/>
      <c r="P399" s="398"/>
      <c r="Q399" s="383">
        <f t="shared" si="44"/>
        <v>0</v>
      </c>
      <c r="R399" s="418"/>
      <c r="S399" s="435"/>
      <c r="T399" s="435"/>
      <c r="U399" s="435"/>
      <c r="V399" s="435"/>
      <c r="W399" s="435"/>
      <c r="X399" s="435"/>
      <c r="Y399" s="435"/>
      <c r="Z399" s="435"/>
      <c r="AA399" s="435"/>
      <c r="AB399" s="435"/>
      <c r="AC399" s="435"/>
      <c r="AD399" s="435"/>
      <c r="AE399" s="435"/>
      <c r="AF399" s="435"/>
      <c r="AG399" s="435"/>
      <c r="AH399" s="435"/>
      <c r="AI399" s="435"/>
      <c r="AJ399" s="435"/>
      <c r="AK399" s="435"/>
      <c r="AL399" s="435"/>
      <c r="AM399" s="435"/>
      <c r="AN399" s="435"/>
      <c r="AO399" s="435"/>
    </row>
    <row r="400" spans="1:41" s="422" customFormat="1" ht="18" customHeight="1">
      <c r="A400" s="407"/>
      <c r="B400" s="398"/>
      <c r="C400" s="398"/>
      <c r="D400" s="399"/>
      <c r="E400" s="398"/>
      <c r="F400" s="399"/>
      <c r="G400" s="399"/>
      <c r="H400" s="398"/>
      <c r="I400" s="407"/>
      <c r="J400" s="398"/>
      <c r="K400" s="398"/>
      <c r="L400" s="399"/>
      <c r="M400" s="398"/>
      <c r="N400" s="399"/>
      <c r="O400" s="399"/>
      <c r="P400" s="398"/>
      <c r="Q400" s="383">
        <f t="shared" si="44"/>
        <v>0</v>
      </c>
      <c r="R400" s="418"/>
      <c r="S400" s="435"/>
      <c r="T400" s="435"/>
      <c r="U400" s="435"/>
      <c r="V400" s="435"/>
      <c r="W400" s="435"/>
      <c r="X400" s="435"/>
      <c r="Y400" s="435"/>
      <c r="Z400" s="435"/>
      <c r="AA400" s="435"/>
      <c r="AB400" s="435"/>
      <c r="AC400" s="435"/>
      <c r="AD400" s="435"/>
      <c r="AE400" s="435"/>
      <c r="AF400" s="435"/>
      <c r="AG400" s="435"/>
      <c r="AH400" s="435"/>
      <c r="AI400" s="435"/>
      <c r="AJ400" s="435"/>
      <c r="AK400" s="435"/>
      <c r="AL400" s="435"/>
      <c r="AM400" s="435"/>
      <c r="AN400" s="435"/>
      <c r="AO400" s="435"/>
    </row>
    <row r="401" spans="1:41" ht="15.75" customHeight="1">
      <c r="B401" s="420"/>
      <c r="C401" s="420"/>
      <c r="D401" s="420"/>
      <c r="E401" s="420"/>
      <c r="F401" s="420"/>
      <c r="G401" s="420"/>
      <c r="H401" s="402" t="s">
        <v>1007</v>
      </c>
      <c r="I401" s="349"/>
      <c r="J401" s="417"/>
      <c r="K401" s="417"/>
      <c r="L401" s="417"/>
      <c r="M401" s="417"/>
      <c r="N401" s="417"/>
      <c r="O401" s="417"/>
      <c r="P401" s="417"/>
      <c r="Q401" s="383">
        <f t="shared" si="44"/>
        <v>0</v>
      </c>
      <c r="R401" s="383"/>
      <c r="S401" s="432"/>
      <c r="T401" s="432"/>
      <c r="U401" s="432"/>
      <c r="V401" s="432"/>
      <c r="W401" s="432"/>
      <c r="X401" s="432"/>
      <c r="Y401" s="432"/>
      <c r="Z401" s="432"/>
      <c r="AA401" s="432"/>
      <c r="AB401" s="432"/>
      <c r="AC401" s="432"/>
      <c r="AD401" s="432"/>
      <c r="AE401" s="432"/>
      <c r="AF401" s="432"/>
      <c r="AG401" s="432"/>
      <c r="AH401" s="432"/>
      <c r="AI401" s="432"/>
      <c r="AJ401" s="432"/>
      <c r="AK401" s="432"/>
      <c r="AL401" s="432"/>
      <c r="AM401" s="432"/>
      <c r="AN401" s="432"/>
      <c r="AO401" s="432"/>
    </row>
    <row r="402" spans="1:41" ht="18">
      <c r="A402" s="344" t="s">
        <v>948</v>
      </c>
      <c r="B402" s="345"/>
      <c r="C402" s="345"/>
      <c r="D402" s="345"/>
      <c r="E402" s="345"/>
      <c r="F402" s="345"/>
      <c r="G402" s="345"/>
      <c r="H402" s="345"/>
      <c r="Q402" s="383">
        <f t="shared" si="44"/>
        <v>0</v>
      </c>
    </row>
    <row r="403" spans="1:41">
      <c r="A403" s="350"/>
      <c r="B403" s="346"/>
      <c r="C403" s="346"/>
      <c r="D403" s="346"/>
      <c r="E403" s="346"/>
      <c r="F403" s="346"/>
      <c r="G403" s="346"/>
      <c r="H403" s="346"/>
      <c r="Q403" s="383">
        <f t="shared" si="44"/>
        <v>0</v>
      </c>
    </row>
    <row r="404" spans="1:41" ht="15.75">
      <c r="A404" s="352" t="s">
        <v>906</v>
      </c>
      <c r="B404" s="346"/>
      <c r="C404" s="346"/>
      <c r="D404" s="346"/>
      <c r="E404" s="346"/>
      <c r="F404" s="346"/>
      <c r="G404" s="346"/>
      <c r="H404" s="346"/>
      <c r="Q404" s="383">
        <f t="shared" si="44"/>
        <v>0</v>
      </c>
    </row>
    <row r="405" spans="1:41" ht="15.75">
      <c r="A405" s="352" t="s">
        <v>979</v>
      </c>
      <c r="B405" s="346"/>
      <c r="C405" s="346"/>
      <c r="D405" s="346"/>
      <c r="E405" s="346"/>
      <c r="F405" s="346"/>
      <c r="G405" s="346"/>
      <c r="H405" s="346"/>
      <c r="Q405" s="383">
        <f t="shared" si="44"/>
        <v>0</v>
      </c>
    </row>
    <row r="406" spans="1:41">
      <c r="A406" s="355"/>
      <c r="B406" s="356"/>
      <c r="C406" s="356"/>
      <c r="D406" s="356"/>
      <c r="E406" s="356"/>
      <c r="F406" s="356"/>
      <c r="G406" s="356"/>
      <c r="H406" s="356"/>
      <c r="Q406" s="383">
        <f t="shared" si="44"/>
        <v>0</v>
      </c>
    </row>
    <row r="407" spans="1:41">
      <c r="A407" s="360"/>
      <c r="B407" s="361" t="s">
        <v>908</v>
      </c>
      <c r="C407" s="361"/>
      <c r="D407" s="361"/>
      <c r="E407" s="361"/>
      <c r="F407" s="361"/>
      <c r="G407" s="361"/>
      <c r="H407" s="362"/>
      <c r="Q407" s="383">
        <f t="shared" si="44"/>
        <v>0</v>
      </c>
    </row>
    <row r="408" spans="1:41">
      <c r="A408" s="360"/>
      <c r="B408" s="361" t="s">
        <v>909</v>
      </c>
      <c r="C408" s="361"/>
      <c r="D408" s="506" t="s">
        <v>910</v>
      </c>
      <c r="E408" s="504"/>
      <c r="F408" s="504"/>
      <c r="G408" s="504"/>
      <c r="H408" s="368" t="s">
        <v>800</v>
      </c>
      <c r="Q408" s="383">
        <f t="shared" si="44"/>
        <v>0</v>
      </c>
    </row>
    <row r="409" spans="1:41" ht="36">
      <c r="A409" s="360"/>
      <c r="B409" s="369" t="s">
        <v>911</v>
      </c>
      <c r="C409" s="370" t="s">
        <v>912</v>
      </c>
      <c r="D409" s="371" t="s">
        <v>913</v>
      </c>
      <c r="E409" s="372" t="s">
        <v>10</v>
      </c>
      <c r="F409" s="369" t="s">
        <v>914</v>
      </c>
      <c r="G409" s="373" t="s">
        <v>924</v>
      </c>
      <c r="H409" s="374" t="s">
        <v>916</v>
      </c>
      <c r="Q409" s="383">
        <f t="shared" si="44"/>
        <v>0</v>
      </c>
    </row>
    <row r="410" spans="1:41" ht="15.75" customHeight="1">
      <c r="A410" s="404" t="s">
        <v>885</v>
      </c>
      <c r="B410" s="431">
        <f>('Pivot Table for Data Exchange'!$P$7)*100</f>
        <v>87.033218216601654</v>
      </c>
      <c r="C410" s="378">
        <f>('Pivot Table for Data Exchange'!$P$10)*100</f>
        <v>4.7230987105269699</v>
      </c>
      <c r="D410" s="379">
        <f>SUM(E410:G410)</f>
        <v>8.2436830728713755</v>
      </c>
      <c r="E410" s="378">
        <f>('Pivot Table for Data Exchange'!$P$13)*100</f>
        <v>8.2436830728713755</v>
      </c>
      <c r="F410" s="378">
        <f>('Pivot Table for Data Exchange'!$P$16)*100</f>
        <v>0</v>
      </c>
      <c r="G410" s="382">
        <f>('Pivot Table for Data Exchange'!$P$19)*100</f>
        <v>0</v>
      </c>
      <c r="H410" s="378">
        <f>('Pivot Table for Data Exchange'!$P$22)*100</f>
        <v>0</v>
      </c>
      <c r="I410" s="349"/>
      <c r="J410" s="417"/>
      <c r="K410" s="417"/>
      <c r="L410" s="417"/>
      <c r="M410" s="417"/>
      <c r="N410" s="417"/>
      <c r="O410" s="417"/>
      <c r="P410" s="417"/>
      <c r="Q410" s="383">
        <f t="shared" si="44"/>
        <v>100</v>
      </c>
      <c r="R410" s="383"/>
      <c r="S410" s="432"/>
      <c r="T410" s="432"/>
      <c r="U410" s="432"/>
      <c r="V410" s="432"/>
      <c r="W410" s="432"/>
      <c r="X410" s="432"/>
      <c r="Y410" s="432"/>
      <c r="Z410" s="432"/>
      <c r="AA410" s="432"/>
      <c r="AB410" s="432"/>
      <c r="AC410" s="432"/>
      <c r="AD410" s="432"/>
      <c r="AE410" s="432"/>
      <c r="AF410" s="432"/>
      <c r="AG410" s="432"/>
      <c r="AH410" s="432"/>
      <c r="AI410" s="432"/>
      <c r="AJ410" s="432"/>
      <c r="AK410" s="432"/>
      <c r="AL410" s="432"/>
      <c r="AM410" s="432"/>
      <c r="AN410" s="432"/>
      <c r="AO410" s="432"/>
    </row>
    <row r="411" spans="1:41" ht="15.75" customHeight="1">
      <c r="A411" s="349" t="s">
        <v>886</v>
      </c>
      <c r="B411" s="378">
        <f>('Pivot Table for Data Exchange'!$P$43)*100</f>
        <v>0</v>
      </c>
      <c r="C411" s="378">
        <f>('Pivot Table for Data Exchange'!$P$46)*100</f>
        <v>0</v>
      </c>
      <c r="D411" s="379">
        <f t="shared" ref="D411:D413" si="49">SUM(E411:G411)</f>
        <v>0</v>
      </c>
      <c r="E411" s="378">
        <f>('Pivot Table for Data Exchange'!$P$49)*100</f>
        <v>0</v>
      </c>
      <c r="F411" s="378">
        <f>('Pivot Table for Data Exchange'!$P$52)*100</f>
        <v>0</v>
      </c>
      <c r="G411" s="386">
        <f>('Pivot Table for Data Exchange'!$P$55)*100</f>
        <v>0</v>
      </c>
      <c r="H411" s="378">
        <f>('Pivot Table for Data Exchange'!$P$58)*100</f>
        <v>0</v>
      </c>
      <c r="I411" s="349"/>
      <c r="J411" s="417"/>
      <c r="K411" s="417"/>
      <c r="L411" s="417"/>
      <c r="M411" s="417"/>
      <c r="N411" s="417"/>
      <c r="O411" s="417"/>
      <c r="P411" s="417"/>
      <c r="Q411" s="383">
        <f t="shared" ref="Q411:Q458" si="50">SUM(B411,C411,D411,H411)</f>
        <v>0</v>
      </c>
      <c r="R411" s="383"/>
      <c r="S411" s="432"/>
      <c r="T411" s="432"/>
      <c r="U411" s="432"/>
      <c r="V411" s="432"/>
      <c r="W411" s="432"/>
      <c r="X411" s="432"/>
      <c r="Y411" s="432"/>
      <c r="Z411" s="432"/>
      <c r="AA411" s="432"/>
      <c r="AB411" s="432"/>
      <c r="AC411" s="432"/>
      <c r="AD411" s="432"/>
      <c r="AE411" s="432"/>
      <c r="AF411" s="432"/>
      <c r="AG411" s="432"/>
      <c r="AH411" s="432"/>
      <c r="AI411" s="432"/>
      <c r="AJ411" s="432"/>
      <c r="AK411" s="432"/>
      <c r="AL411" s="432"/>
      <c r="AM411" s="432"/>
      <c r="AN411" s="432"/>
      <c r="AO411" s="432"/>
    </row>
    <row r="412" spans="1:41" ht="15.75" customHeight="1">
      <c r="A412" s="349" t="s">
        <v>887</v>
      </c>
      <c r="B412" s="378">
        <f>('Pivot Table for Data Exchange'!$P$79)*100</f>
        <v>0</v>
      </c>
      <c r="C412" s="378">
        <f>('Pivot Table for Data Exchange'!$P$82)*100</f>
        <v>0</v>
      </c>
      <c r="D412" s="379">
        <f t="shared" si="49"/>
        <v>0</v>
      </c>
      <c r="E412" s="378">
        <f>('Pivot Table for Data Exchange'!$P$85)*100</f>
        <v>0</v>
      </c>
      <c r="F412" s="378">
        <f>('Pivot Table for Data Exchange'!$P$88)*100</f>
        <v>0</v>
      </c>
      <c r="G412" s="386">
        <f>('Pivot Table for Data Exchange'!$P$91)*100</f>
        <v>0</v>
      </c>
      <c r="H412" s="378">
        <f>('Pivot Table for Data Exchange'!$P$94)*100</f>
        <v>0</v>
      </c>
      <c r="I412" s="349"/>
      <c r="J412" s="417"/>
      <c r="K412" s="417"/>
      <c r="L412" s="417"/>
      <c r="M412" s="417"/>
      <c r="N412" s="417"/>
      <c r="O412" s="417"/>
      <c r="P412" s="417"/>
      <c r="Q412" s="383">
        <f t="shared" si="50"/>
        <v>0</v>
      </c>
      <c r="R412" s="383"/>
      <c r="S412" s="432"/>
      <c r="T412" s="436"/>
      <c r="U412" s="432"/>
      <c r="V412" s="432"/>
      <c r="W412" s="432"/>
      <c r="X412" s="432"/>
      <c r="Y412" s="432"/>
      <c r="Z412" s="432"/>
      <c r="AA412" s="432"/>
      <c r="AB412" s="432"/>
      <c r="AC412" s="432"/>
      <c r="AD412" s="432"/>
      <c r="AE412" s="432"/>
      <c r="AF412" s="432"/>
      <c r="AG412" s="432"/>
      <c r="AH412" s="432"/>
      <c r="AI412" s="432"/>
      <c r="AJ412" s="432"/>
      <c r="AK412" s="432"/>
      <c r="AL412" s="432"/>
      <c r="AM412" s="432"/>
      <c r="AN412" s="432"/>
      <c r="AO412" s="432"/>
    </row>
    <row r="413" spans="1:41" ht="15.75" customHeight="1">
      <c r="A413" s="349" t="s">
        <v>888</v>
      </c>
      <c r="B413" s="378">
        <f>('Pivot Table for Data Exchange'!$P$115)*100</f>
        <v>0</v>
      </c>
      <c r="C413" s="378">
        <f>('Pivot Table for Data Exchange'!$P$118)*100</f>
        <v>0</v>
      </c>
      <c r="D413" s="379">
        <f t="shared" si="49"/>
        <v>0</v>
      </c>
      <c r="E413" s="378">
        <f>('Pivot Table for Data Exchange'!$P$121)*100</f>
        <v>0</v>
      </c>
      <c r="F413" s="378">
        <f>('Pivot Table for Data Exchange'!$P$124)*100</f>
        <v>0</v>
      </c>
      <c r="G413" s="386">
        <f>('Pivot Table for Data Exchange'!$P$127)*100</f>
        <v>0</v>
      </c>
      <c r="H413" s="378">
        <f>('Pivot Table for Data Exchange'!$P$130)*100</f>
        <v>0</v>
      </c>
      <c r="I413" s="349"/>
      <c r="J413" s="417"/>
      <c r="K413" s="417"/>
      <c r="L413" s="417"/>
      <c r="M413" s="417"/>
      <c r="N413" s="417"/>
      <c r="O413" s="417"/>
      <c r="P413" s="417"/>
      <c r="Q413" s="383">
        <f t="shared" si="50"/>
        <v>0</v>
      </c>
      <c r="R413" s="383"/>
      <c r="S413" s="432"/>
      <c r="U413" s="432"/>
      <c r="V413" s="432"/>
      <c r="W413" s="432"/>
      <c r="X413" s="432"/>
      <c r="Y413" s="432"/>
      <c r="Z413" s="432"/>
      <c r="AA413" s="432"/>
      <c r="AB413" s="432"/>
      <c r="AC413" s="432"/>
      <c r="AD413" s="432"/>
      <c r="AE413" s="432"/>
      <c r="AF413" s="432"/>
      <c r="AG413" s="432"/>
      <c r="AH413" s="432"/>
      <c r="AI413" s="432"/>
      <c r="AJ413" s="432"/>
      <c r="AK413" s="432"/>
      <c r="AL413" s="432"/>
      <c r="AM413" s="432"/>
      <c r="AN413" s="432"/>
      <c r="AO413" s="432"/>
    </row>
    <row r="414" spans="1:41" ht="15.75" customHeight="1">
      <c r="B414" s="378"/>
      <c r="C414" s="378"/>
      <c r="D414" s="379"/>
      <c r="E414" s="378"/>
      <c r="F414" s="378"/>
      <c r="G414" s="386"/>
      <c r="H414" s="378"/>
      <c r="I414" s="349"/>
      <c r="J414" s="417"/>
      <c r="K414" s="417"/>
      <c r="L414" s="417"/>
      <c r="M414" s="417"/>
      <c r="N414" s="417"/>
      <c r="O414" s="417"/>
      <c r="P414" s="417"/>
      <c r="Q414" s="383">
        <f t="shared" si="50"/>
        <v>0</v>
      </c>
      <c r="R414" s="383"/>
      <c r="S414" s="432"/>
      <c r="U414" s="432"/>
      <c r="V414" s="432"/>
      <c r="W414" s="432"/>
      <c r="X414" s="432"/>
      <c r="Y414" s="432"/>
      <c r="Z414" s="432"/>
      <c r="AA414" s="432"/>
      <c r="AB414" s="432"/>
      <c r="AC414" s="432"/>
      <c r="AD414" s="432"/>
      <c r="AE414" s="432"/>
      <c r="AF414" s="432"/>
      <c r="AG414" s="432"/>
      <c r="AH414" s="432"/>
      <c r="AI414" s="432"/>
      <c r="AJ414" s="432"/>
      <c r="AK414" s="432"/>
      <c r="AL414" s="432"/>
      <c r="AM414" s="432"/>
      <c r="AN414" s="432"/>
      <c r="AO414" s="432"/>
    </row>
    <row r="415" spans="1:41" ht="15.75" customHeight="1">
      <c r="A415" s="349" t="s">
        <v>889</v>
      </c>
      <c r="B415" s="378">
        <f>('Pivot Table for Data Exchange'!$P$151)*100</f>
        <v>66.080643318978389</v>
      </c>
      <c r="C415" s="378">
        <f>('Pivot Table for Data Exchange'!$P$154)*100</f>
        <v>0</v>
      </c>
      <c r="D415" s="379">
        <f t="shared" ref="D415:D416" si="51">SUM(E415:G415)</f>
        <v>33.919356681021604</v>
      </c>
      <c r="E415" s="378">
        <f>('Pivot Table for Data Exchange'!$P$157)*100</f>
        <v>33.335520006753896</v>
      </c>
      <c r="F415" s="378">
        <f>('Pivot Table for Data Exchange'!$P$160)*100</f>
        <v>0.58383667426770758</v>
      </c>
      <c r="G415" s="386">
        <f>('Pivot Table for Data Exchange'!$P$163)*100</f>
        <v>0</v>
      </c>
      <c r="H415" s="378">
        <f>('Pivot Table for Data Exchange'!$P$166)*100</f>
        <v>0</v>
      </c>
      <c r="I415" s="349"/>
      <c r="J415" s="417"/>
      <c r="K415" s="417"/>
      <c r="L415" s="417"/>
      <c r="M415" s="417"/>
      <c r="N415" s="417"/>
      <c r="O415" s="417"/>
      <c r="P415" s="417"/>
      <c r="Q415" s="383">
        <f t="shared" si="50"/>
        <v>100</v>
      </c>
      <c r="R415" s="383"/>
      <c r="S415" s="432"/>
      <c r="T415" s="432"/>
      <c r="U415" s="432"/>
      <c r="V415" s="432"/>
      <c r="W415" s="432"/>
      <c r="X415" s="432"/>
      <c r="Y415" s="432"/>
      <c r="Z415" s="432"/>
      <c r="AA415" s="432"/>
      <c r="AB415" s="432"/>
      <c r="AC415" s="432"/>
      <c r="AD415" s="432"/>
      <c r="AE415" s="432"/>
      <c r="AF415" s="432"/>
      <c r="AG415" s="432"/>
      <c r="AH415" s="432"/>
      <c r="AI415" s="432"/>
      <c r="AJ415" s="432"/>
      <c r="AK415" s="432"/>
      <c r="AL415" s="432"/>
      <c r="AM415" s="432"/>
      <c r="AN415" s="432"/>
      <c r="AO415" s="432"/>
    </row>
    <row r="416" spans="1:41" ht="15.75" customHeight="1">
      <c r="A416" s="349" t="s">
        <v>890</v>
      </c>
      <c r="B416" s="378">
        <f>('Pivot Table for Data Exchange'!$P$187)*100</f>
        <v>63.034016451519307</v>
      </c>
      <c r="C416" s="378">
        <f>('Pivot Table for Data Exchange'!$P$190)*100</f>
        <v>5.3275120957130229</v>
      </c>
      <c r="D416" s="379">
        <f t="shared" si="51"/>
        <v>31.638471452767675</v>
      </c>
      <c r="E416" s="378">
        <f>('Pivot Table for Data Exchange'!$P$193)*100</f>
        <v>31.638471452767675</v>
      </c>
      <c r="F416" s="378">
        <f>('Pivot Table for Data Exchange'!$P$196)*100</f>
        <v>0</v>
      </c>
      <c r="G416" s="386">
        <f>('Pivot Table for Data Exchange'!$P$199)*100</f>
        <v>0</v>
      </c>
      <c r="H416" s="378">
        <f>('Pivot Table for Data Exchange'!$P$202)*100</f>
        <v>0</v>
      </c>
      <c r="I416" s="349"/>
      <c r="J416" s="417"/>
      <c r="K416" s="417"/>
      <c r="L416" s="417"/>
      <c r="M416" s="417"/>
      <c r="N416" s="417"/>
      <c r="O416" s="417"/>
      <c r="P416" s="417"/>
      <c r="Q416" s="383">
        <f t="shared" si="50"/>
        <v>100</v>
      </c>
      <c r="R416" s="383"/>
      <c r="S416" s="432"/>
      <c r="T416" s="432"/>
      <c r="U416" s="432"/>
      <c r="V416" s="432"/>
      <c r="W416" s="432"/>
      <c r="X416" s="432"/>
      <c r="Y416" s="432"/>
      <c r="Z416" s="432"/>
      <c r="AA416" s="432"/>
      <c r="AB416" s="432"/>
      <c r="AC416" s="432"/>
      <c r="AD416" s="432"/>
      <c r="AE416" s="432"/>
      <c r="AF416" s="432"/>
      <c r="AG416" s="432"/>
      <c r="AH416" s="432"/>
      <c r="AI416" s="432"/>
      <c r="AJ416" s="432"/>
      <c r="AK416" s="432"/>
      <c r="AL416" s="432"/>
      <c r="AM416" s="432"/>
      <c r="AN416" s="432"/>
      <c r="AO416" s="432"/>
    </row>
    <row r="417" spans="1:41" ht="15.75" customHeight="1">
      <c r="A417" s="349" t="s">
        <v>891</v>
      </c>
      <c r="B417" s="378">
        <f>('Pivot Table for Data Exchange'!$P$223)*100</f>
        <v>85.049681222156266</v>
      </c>
      <c r="C417" s="378">
        <f>('Pivot Table for Data Exchange'!$P$226)*100</f>
        <v>0</v>
      </c>
      <c r="D417" s="379">
        <f>SUM(E417:G417)</f>
        <v>14.950318777843735</v>
      </c>
      <c r="E417" s="378">
        <f>('Pivot Table for Data Exchange'!$P$229)*100</f>
        <v>14.950318777843735</v>
      </c>
      <c r="F417" s="378">
        <f>('Pivot Table for Data Exchange'!$P$232)*100</f>
        <v>0</v>
      </c>
      <c r="G417" s="386">
        <f>('Pivot Table for Data Exchange'!$P$235)*100</f>
        <v>0</v>
      </c>
      <c r="H417" s="378">
        <f>('Pivot Table for Data Exchange'!$P$238)*100</f>
        <v>0</v>
      </c>
      <c r="I417" s="424"/>
      <c r="J417" s="417"/>
      <c r="K417" s="417"/>
      <c r="L417" s="417"/>
      <c r="M417" s="417"/>
      <c r="N417" s="417"/>
      <c r="O417" s="417"/>
      <c r="P417" s="417"/>
      <c r="Q417" s="383">
        <f t="shared" si="50"/>
        <v>100</v>
      </c>
      <c r="R417" s="383"/>
      <c r="S417" s="432"/>
      <c r="T417" s="436"/>
      <c r="U417" s="432"/>
      <c r="V417" s="432"/>
      <c r="W417" s="432"/>
      <c r="X417" s="432"/>
      <c r="Y417" s="432"/>
      <c r="Z417" s="432"/>
      <c r="AA417" s="432"/>
      <c r="AB417" s="432"/>
      <c r="AC417" s="432"/>
      <c r="AD417" s="432"/>
      <c r="AE417" s="432"/>
      <c r="AF417" s="432"/>
      <c r="AG417" s="432"/>
      <c r="AH417" s="432"/>
      <c r="AI417" s="432"/>
      <c r="AJ417" s="432"/>
      <c r="AK417" s="432"/>
      <c r="AL417" s="432"/>
      <c r="AM417" s="432"/>
      <c r="AN417" s="432"/>
      <c r="AO417" s="432"/>
    </row>
    <row r="418" spans="1:41" ht="15.75" customHeight="1">
      <c r="A418" s="349" t="s">
        <v>892</v>
      </c>
      <c r="B418" s="378">
        <f>('Pivot Table for Data Exchange'!$P$259)*100</f>
        <v>0</v>
      </c>
      <c r="C418" s="378">
        <f>('Pivot Table for Data Exchange'!$P$262)*100</f>
        <v>0</v>
      </c>
      <c r="D418" s="379">
        <f>SUM(E418:G418)</f>
        <v>0</v>
      </c>
      <c r="E418" s="378">
        <f>('Pivot Table for Data Exchange'!$P$265)*100</f>
        <v>0</v>
      </c>
      <c r="F418" s="378">
        <f>('Pivot Table for Data Exchange'!$P$268)*100</f>
        <v>0</v>
      </c>
      <c r="G418" s="386">
        <f>('Pivot Table for Data Exchange'!$P$271)*100</f>
        <v>0</v>
      </c>
      <c r="H418" s="378">
        <f>('Pivot Table for Data Exchange'!$P$274)*100</f>
        <v>0</v>
      </c>
      <c r="I418" s="349"/>
      <c r="J418" s="417"/>
      <c r="K418" s="417"/>
      <c r="L418" s="417"/>
      <c r="M418" s="417"/>
      <c r="N418" s="417"/>
      <c r="O418" s="417"/>
      <c r="P418" s="417"/>
      <c r="Q418" s="383">
        <f t="shared" si="50"/>
        <v>0</v>
      </c>
      <c r="R418" s="383"/>
      <c r="S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row>
    <row r="419" spans="1:41" ht="15.75" customHeight="1">
      <c r="B419" s="378"/>
      <c r="C419" s="378"/>
      <c r="D419" s="379"/>
      <c r="E419" s="378"/>
      <c r="F419" s="378"/>
      <c r="G419" s="386"/>
      <c r="H419" s="378"/>
      <c r="I419" s="349"/>
      <c r="J419" s="417"/>
      <c r="K419" s="417"/>
      <c r="L419" s="417"/>
      <c r="M419" s="417"/>
      <c r="N419" s="417"/>
      <c r="O419" s="417"/>
      <c r="P419" s="417"/>
      <c r="Q419" s="383">
        <f t="shared" si="50"/>
        <v>0</v>
      </c>
      <c r="R419" s="383"/>
      <c r="S419" s="432"/>
      <c r="U419" s="432"/>
      <c r="V419" s="432"/>
      <c r="W419" s="432"/>
      <c r="X419" s="432"/>
      <c r="Y419" s="432"/>
      <c r="Z419" s="432"/>
      <c r="AA419" s="432"/>
      <c r="AB419" s="432"/>
      <c r="AC419" s="432"/>
      <c r="AD419" s="432"/>
      <c r="AE419" s="432"/>
      <c r="AF419" s="432"/>
      <c r="AG419" s="432"/>
      <c r="AH419" s="432"/>
      <c r="AI419" s="432"/>
      <c r="AJ419" s="432"/>
      <c r="AK419" s="432"/>
      <c r="AL419" s="432"/>
      <c r="AM419" s="432"/>
      <c r="AN419" s="432"/>
      <c r="AO419" s="432"/>
    </row>
    <row r="420" spans="1:41" ht="15.75" customHeight="1">
      <c r="A420" s="349" t="s">
        <v>893</v>
      </c>
      <c r="B420" s="378">
        <f>('Pivot Table for Data Exchange'!$P$295)*100</f>
        <v>0</v>
      </c>
      <c r="C420" s="378">
        <f>('Pivot Table for Data Exchange'!$P$298)*100</f>
        <v>0</v>
      </c>
      <c r="D420" s="379">
        <f>SUM(E420:G420)</f>
        <v>0</v>
      </c>
      <c r="E420" s="378">
        <f>('Pivot Table for Data Exchange'!$P$301)*100</f>
        <v>0</v>
      </c>
      <c r="F420" s="378">
        <f>('Pivot Table for Data Exchange'!$P$304)*100</f>
        <v>0</v>
      </c>
      <c r="G420" s="386">
        <f>('Pivot Table for Data Exchange'!$P$307)*100</f>
        <v>0</v>
      </c>
      <c r="H420" s="378">
        <f>('Pivot Table for Data Exchange'!$P$310)*100</f>
        <v>0</v>
      </c>
      <c r="I420" s="349"/>
      <c r="J420" s="417"/>
      <c r="K420" s="417"/>
      <c r="L420" s="417"/>
      <c r="M420" s="417"/>
      <c r="N420" s="417"/>
      <c r="O420" s="417"/>
      <c r="P420" s="417"/>
      <c r="Q420" s="383">
        <f t="shared" si="50"/>
        <v>0</v>
      </c>
      <c r="R420" s="383"/>
      <c r="S420" s="432"/>
      <c r="T420" s="432"/>
      <c r="U420" s="432"/>
      <c r="V420" s="432"/>
      <c r="W420" s="432"/>
      <c r="X420" s="432"/>
      <c r="Y420" s="432"/>
      <c r="Z420" s="432"/>
      <c r="AA420" s="432"/>
      <c r="AB420" s="432"/>
      <c r="AC420" s="432"/>
      <c r="AD420" s="432"/>
      <c r="AE420" s="432"/>
      <c r="AF420" s="432"/>
      <c r="AG420" s="432"/>
      <c r="AH420" s="432"/>
      <c r="AI420" s="432"/>
      <c r="AJ420" s="432"/>
      <c r="AK420" s="432"/>
      <c r="AL420" s="432"/>
      <c r="AM420" s="432"/>
      <c r="AN420" s="432"/>
      <c r="AO420" s="432"/>
    </row>
    <row r="421" spans="1:41" ht="15.75" customHeight="1">
      <c r="A421" s="349" t="s">
        <v>894</v>
      </c>
      <c r="B421" s="378">
        <f>('Pivot Table for Data Exchange'!$P$331)*100</f>
        <v>0</v>
      </c>
      <c r="C421" s="378">
        <f>('Pivot Table for Data Exchange'!$P$334)*100</f>
        <v>0</v>
      </c>
      <c r="D421" s="379">
        <f>SUM(E421:G421)</f>
        <v>0</v>
      </c>
      <c r="E421" s="378">
        <f>('Pivot Table for Data Exchange'!$P$337)*100</f>
        <v>0</v>
      </c>
      <c r="F421" s="378">
        <f>('Pivot Table for Data Exchange'!$P$340)*100</f>
        <v>0</v>
      </c>
      <c r="G421" s="386">
        <f>('Pivot Table for Data Exchange'!$P$343)*100</f>
        <v>0</v>
      </c>
      <c r="H421" s="378">
        <f>('Pivot Table for Data Exchange'!$P$346)*100</f>
        <v>0</v>
      </c>
      <c r="I421" s="349"/>
      <c r="J421" s="417"/>
      <c r="K421" s="417"/>
      <c r="L421" s="417"/>
      <c r="M421" s="417"/>
      <c r="N421" s="417"/>
      <c r="O421" s="417"/>
      <c r="P421" s="417"/>
      <c r="Q421" s="383">
        <f t="shared" si="50"/>
        <v>0</v>
      </c>
      <c r="R421" s="383"/>
      <c r="S421" s="432"/>
      <c r="T421" s="432"/>
      <c r="U421" s="432"/>
      <c r="V421" s="432"/>
      <c r="W421" s="432"/>
      <c r="X421" s="432"/>
      <c r="Y421" s="432"/>
      <c r="Z421" s="432"/>
      <c r="AA421" s="432"/>
      <c r="AB421" s="432"/>
      <c r="AC421" s="432"/>
      <c r="AD421" s="432"/>
      <c r="AE421" s="432"/>
      <c r="AF421" s="432"/>
      <c r="AG421" s="432"/>
      <c r="AH421" s="432"/>
      <c r="AI421" s="432"/>
      <c r="AJ421" s="432"/>
      <c r="AK421" s="432"/>
      <c r="AL421" s="432"/>
      <c r="AM421" s="432"/>
      <c r="AN421" s="432"/>
      <c r="AO421" s="432"/>
    </row>
    <row r="422" spans="1:41" ht="15.75" customHeight="1">
      <c r="A422" s="349" t="s">
        <v>895</v>
      </c>
      <c r="B422" s="378">
        <f>('Pivot Table for Data Exchange'!$P$367)*100</f>
        <v>0</v>
      </c>
      <c r="C422" s="378">
        <f>('Pivot Table for Data Exchange'!$P$370)*100</f>
        <v>0</v>
      </c>
      <c r="D422" s="379">
        <f>SUM(E422:G422)</f>
        <v>0</v>
      </c>
      <c r="E422" s="378">
        <f>('Pivot Table for Data Exchange'!$P$373)*100</f>
        <v>0</v>
      </c>
      <c r="F422" s="378">
        <f>('Pivot Table for Data Exchange'!$P$376)*100</f>
        <v>0</v>
      </c>
      <c r="G422" s="386">
        <f>('Pivot Table for Data Exchange'!$P$379)*100</f>
        <v>0</v>
      </c>
      <c r="H422" s="378">
        <f>('Pivot Table for Data Exchange'!$P$382)*100</f>
        <v>0</v>
      </c>
      <c r="I422" s="349"/>
      <c r="J422" s="417"/>
      <c r="K422" s="417"/>
      <c r="L422" s="417"/>
      <c r="M422" s="417"/>
      <c r="N422" s="417"/>
      <c r="O422" s="417"/>
      <c r="P422" s="417"/>
      <c r="Q422" s="383">
        <f t="shared" si="50"/>
        <v>0</v>
      </c>
      <c r="R422" s="383"/>
      <c r="S422" s="432"/>
      <c r="T422" s="436"/>
      <c r="U422" s="432"/>
      <c r="V422" s="432"/>
      <c r="W422" s="432"/>
      <c r="X422" s="432"/>
      <c r="Y422" s="432"/>
      <c r="Z422" s="432"/>
      <c r="AA422" s="432"/>
      <c r="AB422" s="432"/>
      <c r="AC422" s="432"/>
      <c r="AD422" s="432"/>
      <c r="AE422" s="432"/>
      <c r="AF422" s="432"/>
      <c r="AG422" s="432"/>
      <c r="AH422" s="432"/>
      <c r="AI422" s="432"/>
      <c r="AJ422" s="432"/>
      <c r="AK422" s="432"/>
      <c r="AL422" s="432"/>
      <c r="AM422" s="432"/>
      <c r="AN422" s="432"/>
      <c r="AO422" s="432"/>
    </row>
    <row r="423" spans="1:41" ht="15.75" customHeight="1">
      <c r="A423" s="349" t="s">
        <v>896</v>
      </c>
      <c r="B423" s="378">
        <f>('Pivot Table for Data Exchange'!$P$403)*100</f>
        <v>0</v>
      </c>
      <c r="C423" s="378">
        <f>('Pivot Table for Data Exchange'!$P$406)*100</f>
        <v>0</v>
      </c>
      <c r="D423" s="379">
        <f>SUM(E423:G423)</f>
        <v>0</v>
      </c>
      <c r="E423" s="378">
        <f>('Pivot Table for Data Exchange'!$P$409)*100</f>
        <v>0</v>
      </c>
      <c r="F423" s="378">
        <f>('Pivot Table for Data Exchange'!$P$412)*100</f>
        <v>0</v>
      </c>
      <c r="G423" s="386">
        <f>('Pivot Table for Data Exchange'!$P$415)*100</f>
        <v>0</v>
      </c>
      <c r="H423" s="378">
        <f>('Pivot Table for Data Exchange'!$P$418)*100</f>
        <v>0</v>
      </c>
      <c r="I423" s="349"/>
      <c r="J423" s="417"/>
      <c r="K423" s="417"/>
      <c r="L423" s="417"/>
      <c r="M423" s="417"/>
      <c r="N423" s="417"/>
      <c r="O423" s="417"/>
      <c r="P423" s="417"/>
      <c r="Q423" s="383">
        <f t="shared" si="50"/>
        <v>0</v>
      </c>
      <c r="R423" s="383"/>
      <c r="S423" s="432"/>
      <c r="T423" s="432"/>
      <c r="U423" s="432"/>
      <c r="V423" s="432"/>
      <c r="W423" s="432"/>
      <c r="X423" s="432"/>
      <c r="Y423" s="432"/>
      <c r="Z423" s="432"/>
      <c r="AA423" s="432"/>
      <c r="AB423" s="432"/>
      <c r="AC423" s="432"/>
      <c r="AD423" s="432"/>
      <c r="AE423" s="432"/>
      <c r="AF423" s="432"/>
      <c r="AG423" s="432"/>
      <c r="AH423" s="432"/>
      <c r="AI423" s="432"/>
      <c r="AJ423" s="432"/>
      <c r="AK423" s="432"/>
      <c r="AL423" s="432"/>
      <c r="AM423" s="432"/>
      <c r="AN423" s="432"/>
      <c r="AO423" s="432"/>
    </row>
    <row r="424" spans="1:41" ht="15.75" customHeight="1">
      <c r="B424" s="378"/>
      <c r="C424" s="378"/>
      <c r="D424" s="379"/>
      <c r="E424" s="378"/>
      <c r="F424" s="378"/>
      <c r="G424" s="386"/>
      <c r="H424" s="378"/>
      <c r="I424" s="349"/>
      <c r="J424" s="417"/>
      <c r="K424" s="417"/>
      <c r="L424" s="417"/>
      <c r="M424" s="417"/>
      <c r="N424" s="417"/>
      <c r="O424" s="417"/>
      <c r="P424" s="417"/>
      <c r="Q424" s="383">
        <f t="shared" si="50"/>
        <v>0</v>
      </c>
      <c r="R424" s="383"/>
      <c r="S424" s="432"/>
      <c r="T424" s="432"/>
      <c r="U424" s="432"/>
      <c r="V424" s="432"/>
      <c r="W424" s="432"/>
      <c r="X424" s="432"/>
      <c r="Y424" s="432"/>
      <c r="Z424" s="432"/>
      <c r="AA424" s="432"/>
      <c r="AB424" s="432"/>
      <c r="AC424" s="432"/>
      <c r="AD424" s="432"/>
      <c r="AE424" s="432"/>
      <c r="AF424" s="432"/>
      <c r="AG424" s="432"/>
      <c r="AH424" s="432"/>
      <c r="AI424" s="432"/>
      <c r="AJ424" s="432"/>
      <c r="AK424" s="432"/>
      <c r="AL424" s="432"/>
      <c r="AM424" s="432"/>
      <c r="AN424" s="432"/>
      <c r="AO424" s="432"/>
    </row>
    <row r="425" spans="1:41" ht="15.75" customHeight="1">
      <c r="A425" s="349" t="s">
        <v>897</v>
      </c>
      <c r="B425" s="378">
        <f>('Pivot Table for Data Exchange'!$P$439)*100</f>
        <v>0</v>
      </c>
      <c r="C425" s="378">
        <f>('Pivot Table for Data Exchange'!$P$442)*100</f>
        <v>0</v>
      </c>
      <c r="D425" s="379">
        <f>SUM(E425:G425)</f>
        <v>0</v>
      </c>
      <c r="E425" s="378">
        <f>('Pivot Table for Data Exchange'!$P$445)*100</f>
        <v>0</v>
      </c>
      <c r="F425" s="378">
        <f>('Pivot Table for Data Exchange'!$P$448)*100</f>
        <v>0</v>
      </c>
      <c r="G425" s="386">
        <f>('Pivot Table for Data Exchange'!$P$451)*100</f>
        <v>0</v>
      </c>
      <c r="H425" s="378">
        <f>('Pivot Table for Data Exchange'!$P$454)*100</f>
        <v>0</v>
      </c>
      <c r="I425" s="349"/>
      <c r="J425" s="417"/>
      <c r="K425" s="417"/>
      <c r="L425" s="417"/>
      <c r="M425" s="417"/>
      <c r="N425" s="417"/>
      <c r="O425" s="417"/>
      <c r="P425" s="417"/>
      <c r="Q425" s="383">
        <f t="shared" si="50"/>
        <v>0</v>
      </c>
      <c r="R425" s="383"/>
      <c r="S425" s="432"/>
      <c r="T425" s="432"/>
      <c r="U425" s="432"/>
      <c r="V425" s="432"/>
      <c r="W425" s="432"/>
      <c r="X425" s="432"/>
      <c r="Y425" s="432"/>
      <c r="Z425" s="432"/>
      <c r="AA425" s="432"/>
      <c r="AB425" s="432"/>
      <c r="AC425" s="432"/>
      <c r="AD425" s="432"/>
      <c r="AE425" s="432"/>
      <c r="AF425" s="432"/>
      <c r="AG425" s="432"/>
      <c r="AH425" s="432"/>
      <c r="AI425" s="432"/>
      <c r="AJ425" s="432"/>
      <c r="AK425" s="432"/>
      <c r="AL425" s="432"/>
      <c r="AM425" s="432"/>
      <c r="AN425" s="432"/>
      <c r="AO425" s="432"/>
    </row>
    <row r="426" spans="1:41" ht="15.75" customHeight="1">
      <c r="A426" s="349" t="s">
        <v>898</v>
      </c>
      <c r="B426" s="378">
        <f>('Pivot Table for Data Exchange'!$P$475)*100</f>
        <v>0</v>
      </c>
      <c r="C426" s="378">
        <f>('Pivot Table for Data Exchange'!$P$478)*100</f>
        <v>0</v>
      </c>
      <c r="D426" s="379">
        <f>SUM(E426:G426)</f>
        <v>0</v>
      </c>
      <c r="E426" s="378">
        <f>('Pivot Table for Data Exchange'!$P$481)*100</f>
        <v>0</v>
      </c>
      <c r="F426" s="378">
        <f>('Pivot Table for Data Exchange'!$P$484)*100</f>
        <v>0</v>
      </c>
      <c r="G426" s="386">
        <f>('Pivot Table for Data Exchange'!$P$487)*100</f>
        <v>0</v>
      </c>
      <c r="H426" s="378">
        <f>('Pivot Table for Data Exchange'!$P$490)*100</f>
        <v>0</v>
      </c>
      <c r="I426" s="349"/>
      <c r="J426" s="417"/>
      <c r="K426" s="417"/>
      <c r="L426" s="417"/>
      <c r="M426" s="417"/>
      <c r="N426" s="417"/>
      <c r="O426" s="417"/>
      <c r="P426" s="417"/>
      <c r="Q426" s="383">
        <f t="shared" si="50"/>
        <v>0</v>
      </c>
      <c r="R426" s="383"/>
      <c r="S426" s="432"/>
      <c r="T426" s="432"/>
      <c r="U426" s="432"/>
      <c r="V426" s="432"/>
      <c r="W426" s="432"/>
      <c r="X426" s="432"/>
      <c r="Y426" s="432"/>
      <c r="Z426" s="432"/>
      <c r="AA426" s="432"/>
      <c r="AB426" s="432"/>
      <c r="AC426" s="432"/>
      <c r="AD426" s="432"/>
      <c r="AE426" s="432"/>
      <c r="AF426" s="432"/>
      <c r="AG426" s="432"/>
      <c r="AH426" s="432"/>
      <c r="AI426" s="432"/>
      <c r="AJ426" s="432"/>
      <c r="AK426" s="432"/>
      <c r="AL426" s="432"/>
      <c r="AM426" s="432"/>
      <c r="AN426" s="432"/>
      <c r="AO426" s="432"/>
    </row>
    <row r="427" spans="1:41" ht="15.75" customHeight="1">
      <c r="A427" s="349" t="s">
        <v>899</v>
      </c>
      <c r="B427" s="378">
        <f>('Pivot Table for Data Exchange'!$P$511)*100</f>
        <v>0</v>
      </c>
      <c r="C427" s="378">
        <f>('Pivot Table for Data Exchange'!$P$514)*100</f>
        <v>0</v>
      </c>
      <c r="D427" s="379">
        <f>SUM(E427:G427)</f>
        <v>0</v>
      </c>
      <c r="E427" s="378">
        <f>('Pivot Table for Data Exchange'!$P$517)*100</f>
        <v>0</v>
      </c>
      <c r="F427" s="378">
        <f>('Pivot Table for Data Exchange'!$P$520)*100</f>
        <v>0</v>
      </c>
      <c r="G427" s="386">
        <f>('Pivot Table for Data Exchange'!$P$523)*100</f>
        <v>0</v>
      </c>
      <c r="H427" s="378">
        <f>('Pivot Table for Data Exchange'!$P$526)*100</f>
        <v>0</v>
      </c>
      <c r="I427" s="349"/>
      <c r="J427" s="417"/>
      <c r="K427" s="417"/>
      <c r="L427" s="417"/>
      <c r="M427" s="417"/>
      <c r="N427" s="417"/>
      <c r="O427" s="417"/>
      <c r="P427" s="417"/>
      <c r="Q427" s="383">
        <f t="shared" si="50"/>
        <v>0</v>
      </c>
      <c r="R427" s="383"/>
      <c r="S427" s="432"/>
      <c r="T427" s="432"/>
      <c r="U427" s="432"/>
      <c r="V427" s="432"/>
      <c r="W427" s="432"/>
      <c r="X427" s="432"/>
      <c r="Y427" s="432"/>
      <c r="Z427" s="432"/>
      <c r="AA427" s="432"/>
      <c r="AB427" s="432"/>
      <c r="AC427" s="432"/>
      <c r="AD427" s="432"/>
      <c r="AE427" s="432"/>
      <c r="AF427" s="432"/>
      <c r="AG427" s="432"/>
      <c r="AH427" s="432"/>
      <c r="AI427" s="432"/>
      <c r="AJ427" s="432"/>
      <c r="AK427" s="432"/>
      <c r="AL427" s="432"/>
      <c r="AM427" s="432"/>
      <c r="AN427" s="432"/>
      <c r="AO427" s="432"/>
    </row>
    <row r="428" spans="1:41" ht="15.75" customHeight="1">
      <c r="A428" s="355" t="s">
        <v>900</v>
      </c>
      <c r="B428" s="391">
        <f>('Pivot Table for Data Exchange'!$P$547)*100</f>
        <v>0</v>
      </c>
      <c r="C428" s="391">
        <f>('Pivot Table for Data Exchange'!$P$550)*100</f>
        <v>0</v>
      </c>
      <c r="D428" s="392">
        <f>SUM(E428:G428)</f>
        <v>0</v>
      </c>
      <c r="E428" s="391">
        <f>('Pivot Table for Data Exchange'!$P$553)*100</f>
        <v>0</v>
      </c>
      <c r="F428" s="391">
        <f>('Pivot Table for Data Exchange'!$P$556)*100</f>
        <v>0</v>
      </c>
      <c r="G428" s="393">
        <f>('Pivot Table for Data Exchange'!$P$559)*100</f>
        <v>0</v>
      </c>
      <c r="H428" s="391">
        <f>('Pivot Table for Data Exchange'!$P$562)*100</f>
        <v>0</v>
      </c>
      <c r="I428" s="349"/>
      <c r="J428" s="417"/>
      <c r="K428" s="417"/>
      <c r="L428" s="417"/>
      <c r="M428" s="417"/>
      <c r="N428" s="417"/>
      <c r="O428" s="417"/>
      <c r="P428" s="417"/>
      <c r="Q428" s="383">
        <f t="shared" si="50"/>
        <v>0</v>
      </c>
      <c r="R428" s="383"/>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32"/>
      <c r="AN428" s="432"/>
      <c r="AO428" s="432"/>
    </row>
    <row r="429" spans="1:41" s="422" customFormat="1" ht="13.5" customHeight="1">
      <c r="A429" s="397" t="s">
        <v>926</v>
      </c>
      <c r="B429" s="398"/>
      <c r="C429" s="398"/>
      <c r="D429" s="399"/>
      <c r="E429" s="398"/>
      <c r="F429" s="399"/>
      <c r="G429" s="399"/>
      <c r="H429" s="398"/>
      <c r="I429" s="407"/>
      <c r="J429" s="398"/>
      <c r="K429" s="398"/>
      <c r="L429" s="399"/>
      <c r="M429" s="398"/>
      <c r="N429" s="399"/>
      <c r="O429" s="399"/>
      <c r="P429" s="398"/>
      <c r="Q429" s="383">
        <f t="shared" si="50"/>
        <v>0</v>
      </c>
      <c r="R429" s="418"/>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row>
    <row r="430" spans="1:41" s="422" customFormat="1" ht="13.5" customHeight="1">
      <c r="A430" s="407"/>
      <c r="B430" s="408"/>
      <c r="C430" s="396"/>
      <c r="D430" s="396"/>
      <c r="E430" s="396"/>
      <c r="F430" s="396"/>
      <c r="G430" s="396"/>
      <c r="H430" s="396"/>
      <c r="I430" s="407"/>
      <c r="J430" s="396"/>
      <c r="K430" s="396"/>
      <c r="L430" s="396"/>
      <c r="M430" s="396"/>
      <c r="N430" s="396"/>
      <c r="O430" s="396"/>
      <c r="P430" s="409"/>
      <c r="Q430" s="383">
        <f t="shared" si="50"/>
        <v>0</v>
      </c>
      <c r="R430" s="419"/>
    </row>
    <row r="431" spans="1:41" s="422" customFormat="1" ht="13.5" customHeight="1">
      <c r="A431" s="407"/>
      <c r="B431" s="396"/>
      <c r="C431" s="396"/>
      <c r="D431" s="396"/>
      <c r="E431" s="396"/>
      <c r="F431" s="396"/>
      <c r="G431" s="396"/>
      <c r="H431" s="402" t="s">
        <v>1007</v>
      </c>
      <c r="I431" s="407"/>
      <c r="J431" s="396"/>
      <c r="K431" s="396"/>
      <c r="L431" s="396"/>
      <c r="M431" s="396"/>
      <c r="N431" s="396"/>
      <c r="O431" s="396"/>
      <c r="P431" s="396"/>
      <c r="Q431" s="383">
        <f t="shared" si="50"/>
        <v>0</v>
      </c>
      <c r="R431" s="419"/>
    </row>
    <row r="432" spans="1:41" ht="18">
      <c r="A432" s="344" t="s">
        <v>949</v>
      </c>
      <c r="B432" s="345"/>
      <c r="C432" s="345"/>
      <c r="D432" s="345"/>
      <c r="E432" s="345"/>
      <c r="F432" s="345"/>
      <c r="G432" s="345"/>
      <c r="H432" s="345"/>
      <c r="Q432" s="383">
        <f t="shared" si="50"/>
        <v>0</v>
      </c>
    </row>
    <row r="433" spans="1:41">
      <c r="A433" s="350"/>
      <c r="B433" s="346"/>
      <c r="C433" s="346"/>
      <c r="D433" s="346"/>
      <c r="E433" s="346"/>
      <c r="F433" s="346"/>
      <c r="G433" s="346"/>
      <c r="H433" s="346"/>
      <c r="Q433" s="383">
        <f t="shared" si="50"/>
        <v>0</v>
      </c>
    </row>
    <row r="434" spans="1:41" ht="15.75">
      <c r="A434" s="352" t="s">
        <v>906</v>
      </c>
      <c r="B434" s="346"/>
      <c r="C434" s="346"/>
      <c r="D434" s="346"/>
      <c r="E434" s="346"/>
      <c r="F434" s="346"/>
      <c r="G434" s="346"/>
      <c r="H434" s="346"/>
      <c r="Q434" s="383">
        <f t="shared" si="50"/>
        <v>0</v>
      </c>
    </row>
    <row r="435" spans="1:41" ht="15.75">
      <c r="A435" s="352" t="s">
        <v>980</v>
      </c>
      <c r="B435" s="346"/>
      <c r="C435" s="346"/>
      <c r="D435" s="346"/>
      <c r="E435" s="346"/>
      <c r="F435" s="346"/>
      <c r="G435" s="346"/>
      <c r="H435" s="346"/>
      <c r="Q435" s="383">
        <f t="shared" si="50"/>
        <v>0</v>
      </c>
    </row>
    <row r="436" spans="1:41">
      <c r="A436" s="355"/>
      <c r="B436" s="356"/>
      <c r="C436" s="356"/>
      <c r="D436" s="356"/>
      <c r="E436" s="356"/>
      <c r="F436" s="356"/>
      <c r="G436" s="356"/>
      <c r="H436" s="356"/>
      <c r="Q436" s="383">
        <f t="shared" si="50"/>
        <v>0</v>
      </c>
    </row>
    <row r="437" spans="1:41">
      <c r="A437" s="360"/>
      <c r="B437" s="361" t="s">
        <v>908</v>
      </c>
      <c r="C437" s="361"/>
      <c r="D437" s="361"/>
      <c r="E437" s="361"/>
      <c r="F437" s="361"/>
      <c r="G437" s="361"/>
      <c r="H437" s="362"/>
      <c r="Q437" s="383">
        <f t="shared" si="50"/>
        <v>0</v>
      </c>
    </row>
    <row r="438" spans="1:41">
      <c r="A438" s="360"/>
      <c r="B438" s="361" t="s">
        <v>909</v>
      </c>
      <c r="C438" s="361"/>
      <c r="D438" s="506" t="s">
        <v>910</v>
      </c>
      <c r="E438" s="504"/>
      <c r="F438" s="504"/>
      <c r="G438" s="504"/>
      <c r="H438" s="368" t="s">
        <v>800</v>
      </c>
      <c r="Q438" s="383">
        <f t="shared" si="50"/>
        <v>0</v>
      </c>
    </row>
    <row r="439" spans="1:41" ht="36">
      <c r="A439" s="360"/>
      <c r="B439" s="369" t="s">
        <v>911</v>
      </c>
      <c r="C439" s="370" t="s">
        <v>912</v>
      </c>
      <c r="D439" s="371" t="s">
        <v>913</v>
      </c>
      <c r="E439" s="372" t="s">
        <v>10</v>
      </c>
      <c r="F439" s="369" t="s">
        <v>914</v>
      </c>
      <c r="G439" s="373" t="s">
        <v>924</v>
      </c>
      <c r="H439" s="374" t="s">
        <v>916</v>
      </c>
      <c r="Q439" s="383">
        <f t="shared" si="50"/>
        <v>0</v>
      </c>
    </row>
    <row r="440" spans="1:41" ht="15.75" customHeight="1">
      <c r="A440" s="404" t="s">
        <v>885</v>
      </c>
      <c r="B440" s="431">
        <f>('Pivot Table for Data Exchange'!$Q$7)*100</f>
        <v>79.065487678980205</v>
      </c>
      <c r="C440" s="378">
        <f>('Pivot Table for Data Exchange'!$Q$10)*100</f>
        <v>6.6901566497598637</v>
      </c>
      <c r="D440" s="379">
        <f>SUM(E440:G440)</f>
        <v>14.244355671259932</v>
      </c>
      <c r="E440" s="378">
        <f>('Pivot Table for Data Exchange'!$Q$13)*100</f>
        <v>14.244355671259932</v>
      </c>
      <c r="F440" s="378">
        <f>('Pivot Table for Data Exchange'!$Q$16)*100</f>
        <v>0</v>
      </c>
      <c r="G440" s="382">
        <f>('Pivot Table for Data Exchange'!$Q$19)*100</f>
        <v>0</v>
      </c>
      <c r="H440" s="378">
        <f>('Pivot Table for Data Exchange'!$Q$22)*100</f>
        <v>0</v>
      </c>
      <c r="I440" s="349"/>
      <c r="J440" s="417"/>
      <c r="K440" s="417"/>
      <c r="L440" s="417"/>
      <c r="M440" s="417"/>
      <c r="N440" s="417"/>
      <c r="O440" s="417"/>
      <c r="P440" s="417"/>
      <c r="Q440" s="383">
        <f t="shared" si="50"/>
        <v>100</v>
      </c>
      <c r="R440" s="383"/>
      <c r="S440" s="432"/>
      <c r="T440" s="432"/>
      <c r="U440" s="432"/>
      <c r="V440" s="432"/>
      <c r="W440" s="432"/>
      <c r="X440" s="432"/>
      <c r="Y440" s="432"/>
      <c r="Z440" s="432"/>
      <c r="AA440" s="432"/>
      <c r="AB440" s="432"/>
      <c r="AC440" s="432"/>
      <c r="AD440" s="432"/>
      <c r="AE440" s="432"/>
      <c r="AF440" s="432"/>
      <c r="AG440" s="432"/>
      <c r="AH440" s="432"/>
      <c r="AI440" s="432"/>
      <c r="AJ440" s="432"/>
      <c r="AK440" s="432"/>
      <c r="AL440" s="432"/>
      <c r="AM440" s="432"/>
      <c r="AN440" s="432"/>
      <c r="AO440" s="432"/>
    </row>
    <row r="441" spans="1:41" ht="15.75" customHeight="1">
      <c r="A441" s="349" t="s">
        <v>886</v>
      </c>
      <c r="B441" s="378">
        <f>('Pivot Table for Data Exchange'!$Q$43)*100</f>
        <v>0</v>
      </c>
      <c r="C441" s="378">
        <f>('Pivot Table for Data Exchange'!$Q$46)*100</f>
        <v>0</v>
      </c>
      <c r="D441" s="379">
        <f t="shared" ref="D441:D443" si="52">SUM(E441:G441)</f>
        <v>0</v>
      </c>
      <c r="E441" s="378">
        <f>('Pivot Table for Data Exchange'!$Q$49)*100</f>
        <v>0</v>
      </c>
      <c r="F441" s="378">
        <f>('Pivot Table for Data Exchange'!$Q$52)*100</f>
        <v>0</v>
      </c>
      <c r="G441" s="386">
        <f>('Pivot Table for Data Exchange'!$Q$55)*100</f>
        <v>0</v>
      </c>
      <c r="H441" s="378">
        <f>('Pivot Table for Data Exchange'!$Q$58)*100</f>
        <v>0</v>
      </c>
      <c r="I441" s="349"/>
      <c r="J441" s="417"/>
      <c r="K441" s="417"/>
      <c r="L441" s="417"/>
      <c r="M441" s="417"/>
      <c r="N441" s="417"/>
      <c r="O441" s="417"/>
      <c r="P441" s="417"/>
      <c r="Q441" s="383">
        <f t="shared" si="50"/>
        <v>0</v>
      </c>
      <c r="R441" s="383"/>
      <c r="S441" s="432"/>
      <c r="T441" s="432"/>
      <c r="U441" s="432"/>
      <c r="V441" s="432"/>
      <c r="W441" s="432"/>
      <c r="X441" s="432"/>
      <c r="Y441" s="432"/>
      <c r="Z441" s="432"/>
      <c r="AA441" s="432"/>
      <c r="AB441" s="432"/>
      <c r="AC441" s="432"/>
      <c r="AD441" s="432"/>
      <c r="AE441" s="432"/>
      <c r="AF441" s="432"/>
      <c r="AG441" s="432"/>
      <c r="AH441" s="432"/>
      <c r="AI441" s="432"/>
      <c r="AJ441" s="432"/>
      <c r="AK441" s="432"/>
      <c r="AL441" s="432"/>
      <c r="AM441" s="432"/>
      <c r="AN441" s="432"/>
      <c r="AO441" s="432"/>
    </row>
    <row r="442" spans="1:41" ht="15.75" customHeight="1">
      <c r="A442" s="349" t="s">
        <v>887</v>
      </c>
      <c r="B442" s="378">
        <f>('Pivot Table for Data Exchange'!$Q$79)*100</f>
        <v>0</v>
      </c>
      <c r="C442" s="378">
        <f>('Pivot Table for Data Exchange'!$Q$82)*100</f>
        <v>0</v>
      </c>
      <c r="D442" s="379">
        <f t="shared" si="52"/>
        <v>0</v>
      </c>
      <c r="E442" s="378">
        <f>('Pivot Table for Data Exchange'!$Q$85)*100</f>
        <v>0</v>
      </c>
      <c r="F442" s="378">
        <f>('Pivot Table for Data Exchange'!$Q$88)*100</f>
        <v>0</v>
      </c>
      <c r="G442" s="386">
        <f>('Pivot Table for Data Exchange'!$Q$91)*100</f>
        <v>0</v>
      </c>
      <c r="H442" s="378">
        <f>('Pivot Table for Data Exchange'!$Q$94)*100</f>
        <v>0</v>
      </c>
      <c r="I442" s="349"/>
      <c r="J442" s="417"/>
      <c r="K442" s="417"/>
      <c r="L442" s="417"/>
      <c r="M442" s="417"/>
      <c r="N442" s="417"/>
      <c r="O442" s="417"/>
      <c r="P442" s="417"/>
      <c r="Q442" s="383">
        <f t="shared" si="50"/>
        <v>0</v>
      </c>
      <c r="R442" s="383"/>
      <c r="S442" s="432"/>
      <c r="T442" s="436"/>
      <c r="U442" s="432"/>
      <c r="V442" s="432"/>
      <c r="W442" s="432"/>
      <c r="X442" s="432"/>
      <c r="Y442" s="432"/>
      <c r="Z442" s="432"/>
      <c r="AA442" s="432"/>
      <c r="AB442" s="432"/>
      <c r="AC442" s="432"/>
      <c r="AD442" s="432"/>
      <c r="AE442" s="432"/>
      <c r="AF442" s="432"/>
      <c r="AG442" s="432"/>
      <c r="AH442" s="432"/>
      <c r="AI442" s="432"/>
      <c r="AJ442" s="432"/>
      <c r="AK442" s="432"/>
      <c r="AL442" s="432"/>
      <c r="AM442" s="432"/>
      <c r="AN442" s="432"/>
      <c r="AO442" s="432"/>
    </row>
    <row r="443" spans="1:41" ht="15.75" customHeight="1">
      <c r="A443" s="349" t="s">
        <v>888</v>
      </c>
      <c r="B443" s="378">
        <f>('Pivot Table for Data Exchange'!$Q$115)*100</f>
        <v>0</v>
      </c>
      <c r="C443" s="378">
        <f>('Pivot Table for Data Exchange'!$Q$118)*100</f>
        <v>0</v>
      </c>
      <c r="D443" s="379">
        <f t="shared" si="52"/>
        <v>0</v>
      </c>
      <c r="E443" s="378">
        <f>('Pivot Table for Data Exchange'!$Q$121)*100</f>
        <v>0</v>
      </c>
      <c r="F443" s="378">
        <f>('Pivot Table for Data Exchange'!$Q$124)*100</f>
        <v>0</v>
      </c>
      <c r="G443" s="386">
        <f>('Pivot Table for Data Exchange'!$Q$127)*100</f>
        <v>0</v>
      </c>
      <c r="H443" s="378">
        <f>('Pivot Table for Data Exchange'!$Q$130)*100</f>
        <v>0</v>
      </c>
      <c r="I443" s="349"/>
      <c r="J443" s="417"/>
      <c r="K443" s="417"/>
      <c r="L443" s="417"/>
      <c r="M443" s="417"/>
      <c r="N443" s="417"/>
      <c r="O443" s="417"/>
      <c r="P443" s="417"/>
      <c r="Q443" s="383">
        <f t="shared" si="50"/>
        <v>0</v>
      </c>
      <c r="R443" s="383"/>
      <c r="S443" s="432"/>
      <c r="U443" s="432"/>
      <c r="V443" s="432"/>
      <c r="W443" s="432"/>
      <c r="X443" s="432"/>
      <c r="Y443" s="432"/>
      <c r="Z443" s="432"/>
      <c r="AA443" s="432"/>
      <c r="AB443" s="432"/>
      <c r="AC443" s="432"/>
      <c r="AD443" s="432"/>
      <c r="AE443" s="432"/>
      <c r="AF443" s="432"/>
      <c r="AG443" s="432"/>
      <c r="AH443" s="432"/>
      <c r="AI443" s="432"/>
      <c r="AJ443" s="432"/>
      <c r="AK443" s="432"/>
      <c r="AL443" s="432"/>
      <c r="AM443" s="432"/>
      <c r="AN443" s="432"/>
      <c r="AO443" s="432"/>
    </row>
    <row r="444" spans="1:41" ht="15.75" customHeight="1">
      <c r="B444" s="378"/>
      <c r="C444" s="378"/>
      <c r="D444" s="379"/>
      <c r="E444" s="378"/>
      <c r="F444" s="378"/>
      <c r="G444" s="386"/>
      <c r="H444" s="378"/>
      <c r="I444" s="349"/>
      <c r="J444" s="417"/>
      <c r="K444" s="417"/>
      <c r="L444" s="417"/>
      <c r="M444" s="417"/>
      <c r="N444" s="417"/>
      <c r="O444" s="417"/>
      <c r="P444" s="417"/>
      <c r="Q444" s="383">
        <f t="shared" si="50"/>
        <v>0</v>
      </c>
      <c r="R444" s="383"/>
      <c r="S444" s="432"/>
      <c r="U444" s="432"/>
      <c r="V444" s="432"/>
      <c r="W444" s="432"/>
      <c r="X444" s="432"/>
      <c r="Y444" s="432"/>
      <c r="Z444" s="432"/>
      <c r="AA444" s="432"/>
      <c r="AB444" s="432"/>
      <c r="AC444" s="432"/>
      <c r="AD444" s="432"/>
      <c r="AE444" s="432"/>
      <c r="AF444" s="432"/>
      <c r="AG444" s="432"/>
      <c r="AH444" s="432"/>
      <c r="AI444" s="432"/>
      <c r="AJ444" s="432"/>
      <c r="AK444" s="432"/>
      <c r="AL444" s="432"/>
      <c r="AM444" s="432"/>
      <c r="AN444" s="432"/>
      <c r="AO444" s="432"/>
    </row>
    <row r="445" spans="1:41" ht="15.75" customHeight="1">
      <c r="A445" s="349" t="s">
        <v>889</v>
      </c>
      <c r="B445" s="378">
        <f>('Pivot Table for Data Exchange'!$Q$151)*100</f>
        <v>0</v>
      </c>
      <c r="C445" s="378">
        <f>('Pivot Table for Data Exchange'!$Q$154)*100</f>
        <v>0</v>
      </c>
      <c r="D445" s="379">
        <f t="shared" ref="D445:D446" si="53">SUM(E445:G445)</f>
        <v>0</v>
      </c>
      <c r="E445" s="378">
        <f>('Pivot Table for Data Exchange'!$Q$157)*100</f>
        <v>0</v>
      </c>
      <c r="F445" s="378">
        <f>('Pivot Table for Data Exchange'!$Q$160)*100</f>
        <v>0</v>
      </c>
      <c r="G445" s="386">
        <f>('Pivot Table for Data Exchange'!$Q$163)*100</f>
        <v>0</v>
      </c>
      <c r="H445" s="378">
        <f>('Pivot Table for Data Exchange'!$Q$166)*100</f>
        <v>0</v>
      </c>
      <c r="I445" s="349"/>
      <c r="J445" s="417"/>
      <c r="K445" s="417"/>
      <c r="L445" s="417"/>
      <c r="M445" s="417"/>
      <c r="N445" s="417"/>
      <c r="O445" s="417"/>
      <c r="P445" s="417"/>
      <c r="Q445" s="383">
        <f t="shared" si="50"/>
        <v>0</v>
      </c>
      <c r="R445" s="383"/>
      <c r="S445" s="432"/>
      <c r="T445" s="432"/>
      <c r="U445" s="432"/>
      <c r="V445" s="432"/>
      <c r="W445" s="432"/>
      <c r="X445" s="432"/>
      <c r="Y445" s="432"/>
      <c r="Z445" s="432"/>
      <c r="AA445" s="432"/>
      <c r="AB445" s="432"/>
      <c r="AC445" s="432"/>
      <c r="AD445" s="432"/>
      <c r="AE445" s="432"/>
      <c r="AF445" s="432"/>
      <c r="AG445" s="432"/>
      <c r="AH445" s="432"/>
      <c r="AI445" s="432"/>
      <c r="AJ445" s="432"/>
      <c r="AK445" s="432"/>
      <c r="AL445" s="432"/>
      <c r="AM445" s="432"/>
      <c r="AN445" s="432"/>
      <c r="AO445" s="432"/>
    </row>
    <row r="446" spans="1:41" ht="15.75" customHeight="1">
      <c r="A446" s="349" t="s">
        <v>890</v>
      </c>
      <c r="B446" s="378">
        <f>('Pivot Table for Data Exchange'!$Q$187)*100</f>
        <v>0</v>
      </c>
      <c r="C446" s="378">
        <f>('Pivot Table for Data Exchange'!$Q$190)*100</f>
        <v>0</v>
      </c>
      <c r="D446" s="379">
        <f t="shared" si="53"/>
        <v>0</v>
      </c>
      <c r="E446" s="378">
        <f>('Pivot Table for Data Exchange'!$Q$193)*100</f>
        <v>0</v>
      </c>
      <c r="F446" s="378">
        <f>('Pivot Table for Data Exchange'!$Q$196)*100</f>
        <v>0</v>
      </c>
      <c r="G446" s="386">
        <f>('Pivot Table for Data Exchange'!$Q$199)*100</f>
        <v>0</v>
      </c>
      <c r="H446" s="378">
        <f>('Pivot Table for Data Exchange'!$Q$202)*100</f>
        <v>0</v>
      </c>
      <c r="I446" s="349"/>
      <c r="J446" s="417"/>
      <c r="K446" s="417"/>
      <c r="L446" s="417"/>
      <c r="M446" s="417"/>
      <c r="N446" s="417"/>
      <c r="O446" s="417"/>
      <c r="P446" s="417"/>
      <c r="Q446" s="383">
        <f t="shared" si="50"/>
        <v>0</v>
      </c>
      <c r="R446" s="383"/>
      <c r="S446" s="432"/>
      <c r="T446" s="432"/>
      <c r="U446" s="432"/>
      <c r="V446" s="432"/>
      <c r="W446" s="432"/>
      <c r="X446" s="432"/>
      <c r="Y446" s="432"/>
      <c r="Z446" s="432"/>
      <c r="AA446" s="432"/>
      <c r="AB446" s="432"/>
      <c r="AC446" s="432"/>
      <c r="AD446" s="432"/>
      <c r="AE446" s="432"/>
      <c r="AF446" s="432"/>
      <c r="AG446" s="432"/>
      <c r="AH446" s="432"/>
      <c r="AI446" s="432"/>
      <c r="AJ446" s="432"/>
      <c r="AK446" s="432"/>
      <c r="AL446" s="432"/>
      <c r="AM446" s="432"/>
      <c r="AN446" s="432"/>
      <c r="AO446" s="432"/>
    </row>
    <row r="447" spans="1:41" ht="15.75" customHeight="1">
      <c r="A447" s="349" t="s">
        <v>891</v>
      </c>
      <c r="B447" s="378">
        <f>('Pivot Table for Data Exchange'!$Q$223)*100</f>
        <v>0</v>
      </c>
      <c r="C447" s="378">
        <f>('Pivot Table for Data Exchange'!$Q$226)*100</f>
        <v>0</v>
      </c>
      <c r="D447" s="379">
        <f>SUM(E447:G447)</f>
        <v>0</v>
      </c>
      <c r="E447" s="378">
        <f>('Pivot Table for Data Exchange'!$Q$229)*100</f>
        <v>0</v>
      </c>
      <c r="F447" s="378">
        <f>('Pivot Table for Data Exchange'!$Q$232)*100</f>
        <v>0</v>
      </c>
      <c r="G447" s="386">
        <f>('Pivot Table for Data Exchange'!$Q$235)*100</f>
        <v>0</v>
      </c>
      <c r="H447" s="378">
        <f>('Pivot Table for Data Exchange'!$Q$238)*100</f>
        <v>0</v>
      </c>
      <c r="I447" s="424"/>
      <c r="J447" s="417"/>
      <c r="K447" s="417"/>
      <c r="L447" s="417"/>
      <c r="M447" s="417"/>
      <c r="N447" s="417"/>
      <c r="O447" s="417"/>
      <c r="P447" s="417"/>
      <c r="Q447" s="383">
        <f t="shared" si="50"/>
        <v>0</v>
      </c>
      <c r="R447" s="383"/>
      <c r="S447" s="432"/>
      <c r="T447" s="436"/>
      <c r="U447" s="432"/>
      <c r="V447" s="432"/>
      <c r="W447" s="432"/>
      <c r="X447" s="432"/>
      <c r="Y447" s="432"/>
      <c r="Z447" s="432"/>
      <c r="AA447" s="432"/>
      <c r="AB447" s="432"/>
      <c r="AC447" s="432"/>
      <c r="AD447" s="432"/>
      <c r="AE447" s="432"/>
      <c r="AF447" s="432"/>
      <c r="AG447" s="432"/>
      <c r="AH447" s="432"/>
      <c r="AI447" s="432"/>
      <c r="AJ447" s="432"/>
      <c r="AK447" s="432"/>
      <c r="AL447" s="432"/>
      <c r="AM447" s="432"/>
      <c r="AN447" s="432"/>
      <c r="AO447" s="432"/>
    </row>
    <row r="448" spans="1:41" ht="15.75" customHeight="1">
      <c r="A448" s="349" t="s">
        <v>892</v>
      </c>
      <c r="B448" s="378">
        <f>('Pivot Table for Data Exchange'!$Q$259)*100</f>
        <v>0</v>
      </c>
      <c r="C448" s="378">
        <f>('Pivot Table for Data Exchange'!$Q$262)*100</f>
        <v>0</v>
      </c>
      <c r="D448" s="379">
        <f>SUM(E448:G448)</f>
        <v>0</v>
      </c>
      <c r="E448" s="378">
        <f>('Pivot Table for Data Exchange'!$Q$265)*100</f>
        <v>0</v>
      </c>
      <c r="F448" s="378">
        <f>('Pivot Table for Data Exchange'!$Q$268)*100</f>
        <v>0</v>
      </c>
      <c r="G448" s="386">
        <f>('Pivot Table for Data Exchange'!$Q$271)*100</f>
        <v>0</v>
      </c>
      <c r="H448" s="378">
        <f>('Pivot Table for Data Exchange'!$Q$274)*100</f>
        <v>0</v>
      </c>
      <c r="I448" s="349"/>
      <c r="J448" s="417"/>
      <c r="K448" s="417"/>
      <c r="L448" s="417"/>
      <c r="M448" s="417"/>
      <c r="N448" s="417"/>
      <c r="O448" s="417"/>
      <c r="P448" s="417"/>
      <c r="Q448" s="383">
        <f t="shared" si="50"/>
        <v>0</v>
      </c>
      <c r="R448" s="383"/>
      <c r="S448" s="432"/>
      <c r="U448" s="432"/>
      <c r="V448" s="432"/>
      <c r="W448" s="432"/>
      <c r="X448" s="432"/>
      <c r="Y448" s="432"/>
      <c r="Z448" s="432"/>
      <c r="AA448" s="432"/>
      <c r="AB448" s="432"/>
      <c r="AC448" s="432"/>
      <c r="AD448" s="432"/>
      <c r="AE448" s="432"/>
      <c r="AF448" s="432"/>
      <c r="AG448" s="432"/>
      <c r="AH448" s="432"/>
      <c r="AI448" s="432"/>
      <c r="AJ448" s="432"/>
      <c r="AK448" s="432"/>
      <c r="AL448" s="432"/>
      <c r="AM448" s="432"/>
      <c r="AN448" s="432"/>
      <c r="AO448" s="432"/>
    </row>
    <row r="449" spans="1:41" ht="15.75" customHeight="1">
      <c r="B449" s="378"/>
      <c r="C449" s="378"/>
      <c r="D449" s="379"/>
      <c r="E449" s="378"/>
      <c r="F449" s="378"/>
      <c r="G449" s="386"/>
      <c r="H449" s="378"/>
      <c r="I449" s="349"/>
      <c r="J449" s="417"/>
      <c r="K449" s="417"/>
      <c r="L449" s="417"/>
      <c r="M449" s="417"/>
      <c r="N449" s="417"/>
      <c r="O449" s="417"/>
      <c r="P449" s="417"/>
      <c r="Q449" s="383">
        <f t="shared" si="50"/>
        <v>0</v>
      </c>
      <c r="R449" s="383"/>
      <c r="S449" s="432"/>
      <c r="U449" s="432"/>
      <c r="V449" s="432"/>
      <c r="W449" s="432"/>
      <c r="X449" s="432"/>
      <c r="Y449" s="432"/>
      <c r="Z449" s="432"/>
      <c r="AA449" s="432"/>
      <c r="AB449" s="432"/>
      <c r="AC449" s="432"/>
      <c r="AD449" s="432"/>
      <c r="AE449" s="432"/>
      <c r="AF449" s="432"/>
      <c r="AG449" s="432"/>
      <c r="AH449" s="432"/>
      <c r="AI449" s="432"/>
      <c r="AJ449" s="432"/>
      <c r="AK449" s="432"/>
      <c r="AL449" s="432"/>
      <c r="AM449" s="432"/>
      <c r="AN449" s="432"/>
      <c r="AO449" s="432"/>
    </row>
    <row r="450" spans="1:41" ht="15.75" customHeight="1">
      <c r="A450" s="349" t="s">
        <v>893</v>
      </c>
      <c r="B450" s="378">
        <f>('Pivot Table for Data Exchange'!$Q$295)*100</f>
        <v>0</v>
      </c>
      <c r="C450" s="378">
        <f>('Pivot Table for Data Exchange'!$Q$298)*100</f>
        <v>0</v>
      </c>
      <c r="D450" s="379">
        <f>SUM(E450:G450)</f>
        <v>0</v>
      </c>
      <c r="E450" s="378">
        <f>('Pivot Table for Data Exchange'!$Q$301)*100</f>
        <v>0</v>
      </c>
      <c r="F450" s="378">
        <f>('Pivot Table for Data Exchange'!$Q$304)*100</f>
        <v>0</v>
      </c>
      <c r="G450" s="386">
        <f>('Pivot Table for Data Exchange'!$Q$307)*100</f>
        <v>0</v>
      </c>
      <c r="H450" s="378">
        <f>('Pivot Table for Data Exchange'!$Q$310)*100</f>
        <v>0</v>
      </c>
      <c r="I450" s="349"/>
      <c r="J450" s="417"/>
      <c r="K450" s="417"/>
      <c r="L450" s="417"/>
      <c r="M450" s="417"/>
      <c r="N450" s="417"/>
      <c r="O450" s="417"/>
      <c r="P450" s="417"/>
      <c r="Q450" s="383">
        <f t="shared" si="50"/>
        <v>0</v>
      </c>
      <c r="R450" s="383"/>
      <c r="S450" s="432"/>
      <c r="T450" s="432"/>
      <c r="U450" s="432"/>
      <c r="V450" s="432"/>
      <c r="W450" s="432"/>
      <c r="X450" s="432"/>
      <c r="Y450" s="432"/>
      <c r="Z450" s="432"/>
      <c r="AA450" s="432"/>
      <c r="AB450" s="432"/>
      <c r="AC450" s="432"/>
      <c r="AD450" s="432"/>
      <c r="AE450" s="432"/>
      <c r="AF450" s="432"/>
      <c r="AG450" s="432"/>
      <c r="AH450" s="432"/>
      <c r="AI450" s="432"/>
      <c r="AJ450" s="432"/>
      <c r="AK450" s="432"/>
      <c r="AL450" s="432"/>
      <c r="AM450" s="432"/>
      <c r="AN450" s="432"/>
      <c r="AO450" s="432"/>
    </row>
    <row r="451" spans="1:41" ht="15.75" customHeight="1">
      <c r="A451" s="349" t="s">
        <v>894</v>
      </c>
      <c r="B451" s="378">
        <f>('Pivot Table for Data Exchange'!$Q$331)*100</f>
        <v>0</v>
      </c>
      <c r="C451" s="378">
        <f>('Pivot Table for Data Exchange'!$Q$334)*100</f>
        <v>0</v>
      </c>
      <c r="D451" s="379">
        <f>SUM(E451:G451)</f>
        <v>0</v>
      </c>
      <c r="E451" s="378">
        <f>('Pivot Table for Data Exchange'!$Q$337)*100</f>
        <v>0</v>
      </c>
      <c r="F451" s="378">
        <f>('Pivot Table for Data Exchange'!$Q$340)*100</f>
        <v>0</v>
      </c>
      <c r="G451" s="386">
        <f>('Pivot Table for Data Exchange'!$Q$343)*100</f>
        <v>0</v>
      </c>
      <c r="H451" s="378">
        <f>('Pivot Table for Data Exchange'!$Q$346)*100</f>
        <v>0</v>
      </c>
      <c r="I451" s="349"/>
      <c r="J451" s="417"/>
      <c r="K451" s="417"/>
      <c r="L451" s="417"/>
      <c r="M451" s="417"/>
      <c r="N451" s="417"/>
      <c r="O451" s="417"/>
      <c r="P451" s="417"/>
      <c r="Q451" s="383">
        <f t="shared" si="50"/>
        <v>0</v>
      </c>
      <c r="R451" s="383"/>
      <c r="S451" s="432"/>
      <c r="T451" s="432"/>
      <c r="U451" s="432"/>
      <c r="V451" s="432"/>
      <c r="W451" s="432"/>
      <c r="X451" s="432"/>
      <c r="Y451" s="432"/>
      <c r="Z451" s="432"/>
      <c r="AA451" s="432"/>
      <c r="AB451" s="432"/>
      <c r="AC451" s="432"/>
      <c r="AD451" s="432"/>
      <c r="AE451" s="432"/>
      <c r="AF451" s="432"/>
      <c r="AG451" s="432"/>
      <c r="AH451" s="432"/>
      <c r="AI451" s="432"/>
      <c r="AJ451" s="432"/>
      <c r="AK451" s="432"/>
      <c r="AL451" s="432"/>
      <c r="AM451" s="432"/>
      <c r="AN451" s="432"/>
      <c r="AO451" s="432"/>
    </row>
    <row r="452" spans="1:41" ht="15.75" customHeight="1">
      <c r="A452" s="349" t="s">
        <v>895</v>
      </c>
      <c r="B452" s="378">
        <f>('Pivot Table for Data Exchange'!$Q$367)*100</f>
        <v>0</v>
      </c>
      <c r="C452" s="378">
        <f>('Pivot Table for Data Exchange'!$Q$370)*100</f>
        <v>0</v>
      </c>
      <c r="D452" s="379">
        <f>SUM(E452:G452)</f>
        <v>0</v>
      </c>
      <c r="E452" s="378">
        <f>('Pivot Table for Data Exchange'!$Q$373)*100</f>
        <v>0</v>
      </c>
      <c r="F452" s="378">
        <f>('Pivot Table for Data Exchange'!$Q$376)*100</f>
        <v>0</v>
      </c>
      <c r="G452" s="386">
        <f>('Pivot Table for Data Exchange'!$Q$379)*100</f>
        <v>0</v>
      </c>
      <c r="H452" s="378">
        <f>('Pivot Table for Data Exchange'!$Q$382)*100</f>
        <v>0</v>
      </c>
      <c r="I452" s="349"/>
      <c r="J452" s="417"/>
      <c r="K452" s="417"/>
      <c r="L452" s="417"/>
      <c r="M452" s="417"/>
      <c r="N452" s="417"/>
      <c r="O452" s="417"/>
      <c r="P452" s="417"/>
      <c r="Q452" s="383">
        <f t="shared" si="50"/>
        <v>0</v>
      </c>
      <c r="R452" s="383"/>
      <c r="S452" s="432"/>
      <c r="T452" s="436"/>
      <c r="U452" s="432"/>
      <c r="V452" s="432"/>
      <c r="W452" s="432"/>
      <c r="X452" s="432"/>
      <c r="Y452" s="432"/>
      <c r="Z452" s="432"/>
      <c r="AA452" s="432"/>
      <c r="AB452" s="432"/>
      <c r="AC452" s="432"/>
      <c r="AD452" s="432"/>
      <c r="AE452" s="432"/>
      <c r="AF452" s="432"/>
      <c r="AG452" s="432"/>
      <c r="AH452" s="432"/>
      <c r="AI452" s="432"/>
      <c r="AJ452" s="432"/>
      <c r="AK452" s="432"/>
      <c r="AL452" s="432"/>
      <c r="AM452" s="432"/>
      <c r="AN452" s="432"/>
      <c r="AO452" s="432"/>
    </row>
    <row r="453" spans="1:41" ht="15.75" customHeight="1">
      <c r="A453" s="349" t="s">
        <v>896</v>
      </c>
      <c r="B453" s="378">
        <f>('Pivot Table for Data Exchange'!$Q$403)*100</f>
        <v>0</v>
      </c>
      <c r="C453" s="378">
        <f>('Pivot Table for Data Exchange'!$Q$406)*100</f>
        <v>0</v>
      </c>
      <c r="D453" s="379">
        <f>SUM(E453:G453)</f>
        <v>0</v>
      </c>
      <c r="E453" s="378">
        <f>('Pivot Table for Data Exchange'!$Q$409)*100</f>
        <v>0</v>
      </c>
      <c r="F453" s="378">
        <f>('Pivot Table for Data Exchange'!$Q$412)*100</f>
        <v>0</v>
      </c>
      <c r="G453" s="386">
        <f>('Pivot Table for Data Exchange'!$Q$415)*100</f>
        <v>0</v>
      </c>
      <c r="H453" s="378">
        <f>('Pivot Table for Data Exchange'!$Q$418)*100</f>
        <v>0</v>
      </c>
      <c r="I453" s="349"/>
      <c r="J453" s="417"/>
      <c r="K453" s="417"/>
      <c r="L453" s="417"/>
      <c r="M453" s="417"/>
      <c r="N453" s="417"/>
      <c r="O453" s="417"/>
      <c r="P453" s="417"/>
      <c r="Q453" s="383">
        <f t="shared" si="50"/>
        <v>0</v>
      </c>
      <c r="R453" s="383"/>
      <c r="S453" s="432"/>
      <c r="T453" s="432"/>
      <c r="U453" s="432"/>
      <c r="V453" s="432"/>
      <c r="W453" s="432"/>
      <c r="X453" s="432"/>
      <c r="Y453" s="432"/>
      <c r="Z453" s="432"/>
      <c r="AA453" s="432"/>
      <c r="AB453" s="432"/>
      <c r="AC453" s="432"/>
      <c r="AD453" s="432"/>
      <c r="AE453" s="432"/>
      <c r="AF453" s="432"/>
      <c r="AG453" s="432"/>
      <c r="AH453" s="432"/>
      <c r="AI453" s="432"/>
      <c r="AJ453" s="432"/>
      <c r="AK453" s="432"/>
      <c r="AL453" s="432"/>
      <c r="AM453" s="432"/>
      <c r="AN453" s="432"/>
      <c r="AO453" s="432"/>
    </row>
    <row r="454" spans="1:41" ht="15.75" customHeight="1">
      <c r="B454" s="378"/>
      <c r="C454" s="378"/>
      <c r="D454" s="379"/>
      <c r="E454" s="378"/>
      <c r="F454" s="378"/>
      <c r="G454" s="386"/>
      <c r="H454" s="378"/>
      <c r="I454" s="349"/>
      <c r="J454" s="417"/>
      <c r="K454" s="417"/>
      <c r="L454" s="417"/>
      <c r="M454" s="417"/>
      <c r="N454" s="417"/>
      <c r="O454" s="417"/>
      <c r="P454" s="417"/>
      <c r="Q454" s="383">
        <f t="shared" si="50"/>
        <v>0</v>
      </c>
      <c r="R454" s="383"/>
      <c r="S454" s="432"/>
      <c r="T454" s="432"/>
      <c r="U454" s="432"/>
      <c r="V454" s="432"/>
      <c r="W454" s="432"/>
      <c r="X454" s="432"/>
      <c r="Y454" s="432"/>
      <c r="Z454" s="432"/>
      <c r="AA454" s="432"/>
      <c r="AB454" s="432"/>
      <c r="AC454" s="432"/>
      <c r="AD454" s="432"/>
      <c r="AE454" s="432"/>
      <c r="AF454" s="432"/>
      <c r="AG454" s="432"/>
      <c r="AH454" s="432"/>
      <c r="AI454" s="432"/>
      <c r="AJ454" s="432"/>
      <c r="AK454" s="432"/>
      <c r="AL454" s="432"/>
      <c r="AM454" s="432"/>
      <c r="AN454" s="432"/>
      <c r="AO454" s="432"/>
    </row>
    <row r="455" spans="1:41" ht="15.75" customHeight="1">
      <c r="A455" s="349" t="s">
        <v>897</v>
      </c>
      <c r="B455" s="378">
        <f>('Pivot Table for Data Exchange'!$Q$439)*100</f>
        <v>0</v>
      </c>
      <c r="C455" s="378">
        <f>('Pivot Table for Data Exchange'!$Q$442)*100</f>
        <v>0</v>
      </c>
      <c r="D455" s="379">
        <f>SUM(E455:G455)</f>
        <v>0</v>
      </c>
      <c r="E455" s="378">
        <f>('Pivot Table for Data Exchange'!$Q$445)*100</f>
        <v>0</v>
      </c>
      <c r="F455" s="378">
        <f>('Pivot Table for Data Exchange'!$Q$448)*100</f>
        <v>0</v>
      </c>
      <c r="G455" s="386">
        <f>('Pivot Table for Data Exchange'!$Q$451)*100</f>
        <v>0</v>
      </c>
      <c r="H455" s="378">
        <f>('Pivot Table for Data Exchange'!$Q$454)*100</f>
        <v>0</v>
      </c>
      <c r="I455" s="349"/>
      <c r="J455" s="417"/>
      <c r="K455" s="417"/>
      <c r="L455" s="417"/>
      <c r="M455" s="417"/>
      <c r="N455" s="417"/>
      <c r="O455" s="417"/>
      <c r="P455" s="417"/>
      <c r="Q455" s="383">
        <f t="shared" si="50"/>
        <v>0</v>
      </c>
      <c r="R455" s="383"/>
      <c r="S455" s="432"/>
      <c r="T455" s="432"/>
      <c r="U455" s="432"/>
      <c r="V455" s="432"/>
      <c r="W455" s="432"/>
      <c r="X455" s="432"/>
      <c r="Y455" s="432"/>
      <c r="Z455" s="432"/>
      <c r="AA455" s="432"/>
      <c r="AB455" s="432"/>
      <c r="AC455" s="432"/>
      <c r="AD455" s="432"/>
      <c r="AE455" s="432"/>
      <c r="AF455" s="432"/>
      <c r="AG455" s="432"/>
      <c r="AH455" s="432"/>
      <c r="AI455" s="432"/>
      <c r="AJ455" s="432"/>
      <c r="AK455" s="432"/>
      <c r="AL455" s="432"/>
      <c r="AM455" s="432"/>
      <c r="AN455" s="432"/>
      <c r="AO455" s="432"/>
    </row>
    <row r="456" spans="1:41" ht="15.75" customHeight="1">
      <c r="A456" s="349" t="s">
        <v>898</v>
      </c>
      <c r="B456" s="378">
        <f>('Pivot Table for Data Exchange'!$Q$475)*100</f>
        <v>0</v>
      </c>
      <c r="C456" s="378">
        <f>('Pivot Table for Data Exchange'!$Q$478)*100</f>
        <v>0</v>
      </c>
      <c r="D456" s="379">
        <f>SUM(E456:G456)</f>
        <v>0</v>
      </c>
      <c r="E456" s="378">
        <f>('Pivot Table for Data Exchange'!$Q$481)*100</f>
        <v>0</v>
      </c>
      <c r="F456" s="378">
        <f>('Pivot Table for Data Exchange'!$Q$484)*100</f>
        <v>0</v>
      </c>
      <c r="G456" s="386">
        <f>('Pivot Table for Data Exchange'!$Q$487)*100</f>
        <v>0</v>
      </c>
      <c r="H456" s="378">
        <f>('Pivot Table for Data Exchange'!$Q$490)*100</f>
        <v>0</v>
      </c>
      <c r="I456" s="349"/>
      <c r="J456" s="417"/>
      <c r="K456" s="417"/>
      <c r="L456" s="417"/>
      <c r="M456" s="417"/>
      <c r="N456" s="417"/>
      <c r="O456" s="417"/>
      <c r="P456" s="417"/>
      <c r="Q456" s="383">
        <f t="shared" si="50"/>
        <v>0</v>
      </c>
      <c r="R456" s="383"/>
      <c r="S456" s="432"/>
      <c r="T456" s="432"/>
      <c r="U456" s="432"/>
      <c r="V456" s="432"/>
      <c r="W456" s="432"/>
      <c r="X456" s="432"/>
      <c r="Y456" s="432"/>
      <c r="Z456" s="432"/>
      <c r="AA456" s="432"/>
      <c r="AB456" s="432"/>
      <c r="AC456" s="432"/>
      <c r="AD456" s="432"/>
      <c r="AE456" s="432"/>
      <c r="AF456" s="432"/>
      <c r="AG456" s="432"/>
      <c r="AH456" s="432"/>
      <c r="AI456" s="432"/>
      <c r="AJ456" s="432"/>
      <c r="AK456" s="432"/>
      <c r="AL456" s="432"/>
      <c r="AM456" s="432"/>
      <c r="AN456" s="432"/>
      <c r="AO456" s="432"/>
    </row>
    <row r="457" spans="1:41" ht="15.75" customHeight="1">
      <c r="A457" s="349" t="s">
        <v>899</v>
      </c>
      <c r="B457" s="378">
        <f>('Pivot Table for Data Exchange'!$Q$511)*100</f>
        <v>0</v>
      </c>
      <c r="C457" s="378">
        <f>('Pivot Table for Data Exchange'!$Q$514)*100</f>
        <v>0</v>
      </c>
      <c r="D457" s="379">
        <f>SUM(E457:G457)</f>
        <v>0</v>
      </c>
      <c r="E457" s="378">
        <f>('Pivot Table for Data Exchange'!$Q$517)*100</f>
        <v>0</v>
      </c>
      <c r="F457" s="378">
        <f>('Pivot Table for Data Exchange'!$Q$520)*100</f>
        <v>0</v>
      </c>
      <c r="G457" s="386">
        <f>('Pivot Table for Data Exchange'!$Q$523)*100</f>
        <v>0</v>
      </c>
      <c r="H457" s="378">
        <f>('Pivot Table for Data Exchange'!$Q$526)*100</f>
        <v>0</v>
      </c>
      <c r="I457" s="349"/>
      <c r="J457" s="417"/>
      <c r="K457" s="417"/>
      <c r="L457" s="417"/>
      <c r="M457" s="417"/>
      <c r="N457" s="417"/>
      <c r="O457" s="417"/>
      <c r="P457" s="417"/>
      <c r="Q457" s="383">
        <f t="shared" si="50"/>
        <v>0</v>
      </c>
      <c r="R457" s="383"/>
      <c r="S457" s="432"/>
      <c r="T457" s="432"/>
      <c r="U457" s="432"/>
      <c r="V457" s="432"/>
      <c r="W457" s="432"/>
      <c r="X457" s="432"/>
      <c r="Y457" s="432"/>
      <c r="Z457" s="432"/>
      <c r="AA457" s="432"/>
      <c r="AB457" s="432"/>
      <c r="AC457" s="432"/>
      <c r="AD457" s="432"/>
      <c r="AE457" s="432"/>
      <c r="AF457" s="432"/>
      <c r="AG457" s="432"/>
      <c r="AH457" s="432"/>
      <c r="AI457" s="432"/>
      <c r="AJ457" s="432"/>
      <c r="AK457" s="432"/>
      <c r="AL457" s="432"/>
      <c r="AM457" s="432"/>
      <c r="AN457" s="432"/>
      <c r="AO457" s="432"/>
    </row>
    <row r="458" spans="1:41" ht="15.75" customHeight="1">
      <c r="A458" s="355" t="s">
        <v>900</v>
      </c>
      <c r="B458" s="391">
        <f>('Pivot Table for Data Exchange'!$Q$547)*100</f>
        <v>0</v>
      </c>
      <c r="C458" s="391">
        <f>('Pivot Table for Data Exchange'!$Q$550)*100</f>
        <v>0</v>
      </c>
      <c r="D458" s="392">
        <f>SUM(E458:G458)</f>
        <v>0</v>
      </c>
      <c r="E458" s="391">
        <f>('Pivot Table for Data Exchange'!$Q$553)*100</f>
        <v>0</v>
      </c>
      <c r="F458" s="391">
        <f>('Pivot Table for Data Exchange'!$Q$556)*100</f>
        <v>0</v>
      </c>
      <c r="G458" s="393">
        <f>('Pivot Table for Data Exchange'!$Q$559)*100</f>
        <v>0</v>
      </c>
      <c r="H458" s="391">
        <f>('Pivot Table for Data Exchange'!$Q$562)*100</f>
        <v>0</v>
      </c>
      <c r="I458" s="349"/>
      <c r="J458" s="417"/>
      <c r="K458" s="417"/>
      <c r="L458" s="417"/>
      <c r="M458" s="417"/>
      <c r="N458" s="417"/>
      <c r="O458" s="417"/>
      <c r="P458" s="417"/>
      <c r="Q458" s="383">
        <f t="shared" si="50"/>
        <v>0</v>
      </c>
      <c r="R458" s="383"/>
      <c r="S458" s="432"/>
      <c r="T458" s="432"/>
      <c r="U458" s="432"/>
      <c r="V458" s="432"/>
      <c r="W458" s="432"/>
      <c r="X458" s="432"/>
      <c r="Y458" s="432"/>
      <c r="Z458" s="432"/>
      <c r="AA458" s="432"/>
      <c r="AB458" s="432"/>
      <c r="AC458" s="432"/>
      <c r="AD458" s="432"/>
      <c r="AE458" s="432"/>
      <c r="AF458" s="432"/>
      <c r="AG458" s="432"/>
      <c r="AH458" s="432"/>
      <c r="AI458" s="432"/>
      <c r="AJ458" s="432"/>
      <c r="AK458" s="432"/>
      <c r="AL458" s="432"/>
      <c r="AM458" s="432"/>
      <c r="AN458" s="432"/>
      <c r="AO458" s="432"/>
    </row>
    <row r="459" spans="1:41" s="422" customFormat="1" ht="13.5" customHeight="1">
      <c r="A459" s="397" t="s">
        <v>926</v>
      </c>
      <c r="B459" s="398"/>
      <c r="C459" s="398"/>
      <c r="D459" s="399"/>
      <c r="E459" s="398"/>
      <c r="F459" s="399"/>
      <c r="G459" s="399"/>
      <c r="H459" s="398"/>
      <c r="I459" s="407"/>
      <c r="J459" s="398"/>
      <c r="K459" s="398"/>
      <c r="L459" s="399"/>
      <c r="M459" s="398"/>
      <c r="N459" s="399"/>
      <c r="O459" s="399"/>
      <c r="P459" s="398"/>
      <c r="Q459" s="418"/>
      <c r="R459" s="418"/>
      <c r="S459" s="435"/>
      <c r="T459" s="435"/>
      <c r="U459" s="435"/>
      <c r="V459" s="435"/>
      <c r="W459" s="435"/>
      <c r="X459" s="435"/>
      <c r="Y459" s="435"/>
      <c r="Z459" s="435"/>
      <c r="AA459" s="435"/>
      <c r="AB459" s="435"/>
      <c r="AC459" s="435"/>
      <c r="AD459" s="435"/>
      <c r="AE459" s="435"/>
      <c r="AF459" s="435"/>
      <c r="AG459" s="435"/>
      <c r="AH459" s="435"/>
      <c r="AI459" s="435"/>
      <c r="AJ459" s="435"/>
      <c r="AK459" s="435"/>
      <c r="AL459" s="435"/>
      <c r="AM459" s="435"/>
      <c r="AN459" s="435"/>
      <c r="AO459" s="435"/>
    </row>
    <row r="460" spans="1:41" s="422" customFormat="1" ht="18" customHeight="1">
      <c r="A460" s="407"/>
      <c r="B460" s="398"/>
      <c r="C460" s="398"/>
      <c r="D460" s="399"/>
      <c r="E460" s="398"/>
      <c r="F460" s="399"/>
      <c r="G460" s="399"/>
      <c r="H460" s="398"/>
      <c r="I460" s="407"/>
      <c r="J460" s="398"/>
      <c r="K460" s="398"/>
      <c r="L460" s="399"/>
      <c r="M460" s="398"/>
      <c r="N460" s="399"/>
      <c r="O460" s="399"/>
      <c r="P460" s="398"/>
      <c r="Q460" s="418"/>
      <c r="R460" s="418"/>
      <c r="S460" s="435"/>
      <c r="T460" s="435"/>
      <c r="U460" s="435"/>
      <c r="V460" s="435"/>
      <c r="W460" s="435"/>
      <c r="X460" s="435"/>
      <c r="Y460" s="435"/>
      <c r="Z460" s="435"/>
      <c r="AA460" s="435"/>
      <c r="AB460" s="435"/>
      <c r="AC460" s="435"/>
      <c r="AD460" s="435"/>
      <c r="AE460" s="435"/>
      <c r="AF460" s="435"/>
      <c r="AG460" s="435"/>
      <c r="AH460" s="435"/>
      <c r="AI460" s="435"/>
      <c r="AJ460" s="435"/>
      <c r="AK460" s="435"/>
      <c r="AL460" s="435"/>
      <c r="AM460" s="435"/>
      <c r="AN460" s="435"/>
      <c r="AO460" s="435"/>
    </row>
    <row r="461" spans="1:41" s="422" customFormat="1" ht="13.5" customHeight="1">
      <c r="A461" s="407"/>
      <c r="B461" s="408"/>
      <c r="C461" s="396"/>
      <c r="D461" s="396"/>
      <c r="E461" s="396"/>
      <c r="F461" s="396"/>
      <c r="G461" s="396"/>
      <c r="H461" s="402" t="s">
        <v>1007</v>
      </c>
      <c r="I461" s="407"/>
      <c r="J461" s="396"/>
      <c r="K461" s="396"/>
      <c r="L461" s="396"/>
      <c r="M461" s="396"/>
      <c r="N461" s="396"/>
      <c r="O461" s="396"/>
      <c r="P461" s="409"/>
      <c r="Q461" s="426"/>
      <c r="R461" s="419"/>
    </row>
    <row r="462" spans="1:41" s="422" customFormat="1" ht="13.5" customHeight="1">
      <c r="A462" s="407"/>
      <c r="B462" s="396"/>
      <c r="C462" s="396"/>
      <c r="D462" s="396"/>
      <c r="E462" s="396"/>
      <c r="F462" s="396"/>
      <c r="G462" s="396"/>
      <c r="H462" s="396"/>
      <c r="I462" s="407"/>
      <c r="J462" s="396"/>
      <c r="K462" s="396"/>
      <c r="L462" s="396"/>
      <c r="M462" s="396"/>
      <c r="N462" s="396"/>
      <c r="O462" s="396"/>
      <c r="P462" s="396"/>
      <c r="Q462" s="426"/>
      <c r="R462" s="419"/>
    </row>
    <row r="463" spans="1:41" s="422" customFormat="1" ht="13.5" customHeight="1">
      <c r="A463" s="407"/>
      <c r="B463" s="396"/>
      <c r="C463" s="396"/>
      <c r="D463" s="396"/>
      <c r="E463" s="396"/>
      <c r="F463" s="396"/>
      <c r="G463" s="396"/>
      <c r="H463" s="396"/>
      <c r="I463" s="407"/>
      <c r="J463" s="396"/>
      <c r="K463" s="396"/>
      <c r="L463" s="396"/>
      <c r="M463" s="396"/>
      <c r="N463" s="396"/>
      <c r="O463" s="396"/>
      <c r="P463" s="396"/>
      <c r="Q463" s="426"/>
      <c r="R463" s="419"/>
    </row>
  </sheetData>
  <mergeCells count="42">
    <mergeCell ref="A30:H30"/>
    <mergeCell ref="I30:P30"/>
    <mergeCell ref="Q2:X2"/>
    <mergeCell ref="D7:G7"/>
    <mergeCell ref="L7:O7"/>
    <mergeCell ref="A28:H28"/>
    <mergeCell ref="I28:P28"/>
    <mergeCell ref="D39:G39"/>
    <mergeCell ref="L39:O39"/>
    <mergeCell ref="A61:H61"/>
    <mergeCell ref="I61:P61"/>
    <mergeCell ref="A62:H62"/>
    <mergeCell ref="I62:P62"/>
    <mergeCell ref="D70:G70"/>
    <mergeCell ref="L70:O70"/>
    <mergeCell ref="D100:G100"/>
    <mergeCell ref="L100:O100"/>
    <mergeCell ref="A122:H122"/>
    <mergeCell ref="I122:P122"/>
    <mergeCell ref="D131:G131"/>
    <mergeCell ref="L131:O131"/>
    <mergeCell ref="A153:H153"/>
    <mergeCell ref="I153:P153"/>
    <mergeCell ref="D162:G162"/>
    <mergeCell ref="L162:O162"/>
    <mergeCell ref="A338:H338"/>
    <mergeCell ref="D192:G192"/>
    <mergeCell ref="L192:O192"/>
    <mergeCell ref="A214:H214"/>
    <mergeCell ref="I214:P214"/>
    <mergeCell ref="D223:G223"/>
    <mergeCell ref="A245:H245"/>
    <mergeCell ref="D254:G254"/>
    <mergeCell ref="A276:H276"/>
    <mergeCell ref="D285:G285"/>
    <mergeCell ref="A307:H307"/>
    <mergeCell ref="D316:G316"/>
    <mergeCell ref="D347:G347"/>
    <mergeCell ref="A369:H369"/>
    <mergeCell ref="D378:G378"/>
    <mergeCell ref="D408:G408"/>
    <mergeCell ref="D438:G438"/>
  </mergeCells>
  <conditionalFormatting sqref="Q1:R7 Q9:R1048576">
    <cfRule type="cellIs" dxfId="1836"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2CB2-8CE9-468D-A283-05219871B5E2}">
  <sheetPr>
    <tabColor theme="5" tint="0.59999389629810485"/>
  </sheetPr>
  <dimension ref="A1:AO532"/>
  <sheetViews>
    <sheetView showZeros="0" tabSelected="1" view="pageBreakPreview" topLeftCell="A106" zoomScaleNormal="100" zoomScaleSheetLayoutView="100" workbookViewId="0">
      <selection activeCell="C19" sqref="C19"/>
    </sheetView>
  </sheetViews>
  <sheetFormatPr defaultRowHeight="12.75"/>
  <cols>
    <col min="1" max="1" width="10.44140625" style="349" customWidth="1"/>
    <col min="2" max="3" width="7.33203125" style="349" bestFit="1" customWidth="1"/>
    <col min="4" max="4" width="7.6640625" style="349" bestFit="1" customWidth="1"/>
    <col min="5" max="5" width="4.44140625" style="349" bestFit="1" customWidth="1"/>
    <col min="6" max="6" width="8.88671875" style="349" customWidth="1"/>
    <col min="7" max="7" width="6.109375" style="349" bestFit="1" customWidth="1"/>
    <col min="8" max="8" width="9.5546875" style="349" bestFit="1" customWidth="1"/>
    <col min="9" max="9" width="10.109375" style="415" customWidth="1"/>
    <col min="10" max="11" width="7" style="349" customWidth="1"/>
    <col min="12" max="12" width="7.77734375" style="349" bestFit="1" customWidth="1"/>
    <col min="13" max="13" width="5" style="349" bestFit="1" customWidth="1"/>
    <col min="14" max="14" width="8.77734375" style="349" customWidth="1"/>
    <col min="15" max="15" width="6.109375" style="349" bestFit="1" customWidth="1"/>
    <col min="16" max="16" width="9.5546875" style="349" bestFit="1" customWidth="1"/>
    <col min="17" max="17" width="9" style="353" bestFit="1" customWidth="1"/>
    <col min="18" max="18" width="9" style="359" bestFit="1" customWidth="1"/>
    <col min="19" max="16384" width="8.88671875" style="349"/>
  </cols>
  <sheetData>
    <row r="1" spans="1:41" ht="18">
      <c r="A1" s="344" t="s">
        <v>904</v>
      </c>
      <c r="B1" s="345"/>
      <c r="C1" s="345"/>
      <c r="D1" s="345"/>
      <c r="E1" s="345"/>
      <c r="F1" s="345"/>
      <c r="G1" s="345"/>
      <c r="H1" s="345"/>
      <c r="I1" s="344" t="s">
        <v>905</v>
      </c>
      <c r="J1" s="346"/>
      <c r="K1" s="346"/>
      <c r="L1" s="345"/>
      <c r="M1" s="346"/>
      <c r="N1" s="346"/>
      <c r="O1" s="346"/>
      <c r="P1" s="346"/>
      <c r="Q1" s="347"/>
      <c r="R1" s="348"/>
    </row>
    <row r="2" spans="1:41" ht="15">
      <c r="A2" s="350"/>
      <c r="B2" s="346"/>
      <c r="C2" s="346"/>
      <c r="D2" s="346"/>
      <c r="E2" s="346"/>
      <c r="F2" s="346"/>
      <c r="G2" s="346"/>
      <c r="H2" s="346"/>
      <c r="I2" s="350"/>
      <c r="J2" s="346"/>
      <c r="K2" s="346"/>
      <c r="L2" s="346"/>
      <c r="M2" s="346"/>
      <c r="N2" s="346"/>
      <c r="O2" s="346"/>
      <c r="P2" s="346"/>
      <c r="Q2" s="519"/>
      <c r="R2" s="518"/>
      <c r="S2" s="518"/>
      <c r="T2" s="518"/>
      <c r="U2" s="518"/>
      <c r="V2" s="518"/>
      <c r="W2" s="518"/>
      <c r="X2" s="518"/>
    </row>
    <row r="3" spans="1:41" ht="15.75">
      <c r="A3" s="352" t="s">
        <v>906</v>
      </c>
      <c r="B3" s="346"/>
      <c r="C3" s="346"/>
      <c r="D3" s="346"/>
      <c r="E3" s="346"/>
      <c r="F3" s="346"/>
      <c r="G3" s="346"/>
      <c r="H3" s="346"/>
      <c r="I3" s="352" t="s">
        <v>907</v>
      </c>
      <c r="J3" s="346"/>
      <c r="K3" s="346"/>
      <c r="L3" s="346"/>
      <c r="M3" s="346"/>
      <c r="N3" s="346"/>
      <c r="O3" s="346"/>
      <c r="P3" s="346"/>
      <c r="R3" s="354" t="s">
        <v>800</v>
      </c>
    </row>
    <row r="4" spans="1:41" ht="15.75">
      <c r="A4" s="352" t="s">
        <v>950</v>
      </c>
      <c r="B4" s="346"/>
      <c r="C4" s="346"/>
      <c r="D4" s="346"/>
      <c r="E4" s="346"/>
      <c r="F4" s="346"/>
      <c r="G4" s="346"/>
      <c r="H4" s="346"/>
      <c r="I4" s="352" t="s">
        <v>950</v>
      </c>
      <c r="J4" s="346"/>
      <c r="K4" s="346"/>
      <c r="L4" s="346"/>
      <c r="M4" s="346"/>
      <c r="N4" s="346"/>
      <c r="O4" s="346"/>
      <c r="P4" s="346"/>
      <c r="R4" s="354" t="s">
        <v>800</v>
      </c>
    </row>
    <row r="5" spans="1:41">
      <c r="A5" s="355"/>
      <c r="B5" s="356"/>
      <c r="C5" s="356"/>
      <c r="D5" s="356"/>
      <c r="E5" s="356"/>
      <c r="F5" s="356"/>
      <c r="G5" s="356"/>
      <c r="H5" s="356"/>
      <c r="I5" s="357"/>
      <c r="L5" s="358"/>
      <c r="P5" s="355"/>
    </row>
    <row r="6" spans="1:41" s="365" customFormat="1" ht="12">
      <c r="A6" s="360"/>
      <c r="B6" s="361" t="s">
        <v>908</v>
      </c>
      <c r="C6" s="361"/>
      <c r="D6" s="361"/>
      <c r="E6" s="361"/>
      <c r="F6" s="361"/>
      <c r="G6" s="361"/>
      <c r="H6" s="362"/>
      <c r="I6" s="360"/>
      <c r="J6" s="361" t="s">
        <v>908</v>
      </c>
      <c r="K6" s="361"/>
      <c r="L6" s="361"/>
      <c r="M6" s="361"/>
      <c r="N6" s="361"/>
      <c r="O6" s="361"/>
      <c r="P6" s="362"/>
      <c r="Q6" s="363"/>
      <c r="R6" s="364"/>
    </row>
    <row r="7" spans="1:41" s="365" customFormat="1" ht="12">
      <c r="A7" s="360"/>
      <c r="B7" s="361" t="s">
        <v>909</v>
      </c>
      <c r="C7" s="361"/>
      <c r="D7" s="506" t="s">
        <v>910</v>
      </c>
      <c r="E7" s="504"/>
      <c r="F7" s="504"/>
      <c r="G7" s="504"/>
      <c r="H7" s="368" t="s">
        <v>800</v>
      </c>
      <c r="I7" s="360"/>
      <c r="J7" s="361" t="s">
        <v>909</v>
      </c>
      <c r="K7" s="361"/>
      <c r="L7" s="506" t="s">
        <v>910</v>
      </c>
      <c r="M7" s="504"/>
      <c r="N7" s="504"/>
      <c r="O7" s="504"/>
      <c r="P7" s="368" t="s">
        <v>800</v>
      </c>
      <c r="Q7" s="363"/>
      <c r="R7" s="364"/>
    </row>
    <row r="8" spans="1:41" s="365" customFormat="1" ht="40.5" customHeight="1">
      <c r="A8" s="360"/>
      <c r="B8" s="369" t="s">
        <v>911</v>
      </c>
      <c r="C8" s="370" t="s">
        <v>912</v>
      </c>
      <c r="D8" s="371" t="s">
        <v>913</v>
      </c>
      <c r="E8" s="372" t="s">
        <v>10</v>
      </c>
      <c r="F8" s="369" t="s">
        <v>914</v>
      </c>
      <c r="G8" s="373" t="s">
        <v>915</v>
      </c>
      <c r="H8" s="374" t="s">
        <v>916</v>
      </c>
      <c r="I8" s="360"/>
      <c r="J8" s="369" t="s">
        <v>911</v>
      </c>
      <c r="K8" s="370" t="s">
        <v>912</v>
      </c>
      <c r="L8" s="371" t="s">
        <v>913</v>
      </c>
      <c r="M8" s="372" t="s">
        <v>10</v>
      </c>
      <c r="N8" s="369" t="s">
        <v>914</v>
      </c>
      <c r="O8" s="373" t="s">
        <v>915</v>
      </c>
      <c r="P8" s="374" t="s">
        <v>916</v>
      </c>
      <c r="Q8" s="375" t="s">
        <v>917</v>
      </c>
      <c r="R8" s="375" t="s">
        <v>917</v>
      </c>
      <c r="S8" s="376"/>
    </row>
    <row r="9" spans="1:41" ht="15.75" customHeight="1">
      <c r="A9" s="377" t="s">
        <v>885</v>
      </c>
      <c r="B9" s="378">
        <f>('Pivot Table for Data Exchange'!$J$6)*100</f>
        <v>86.121116928097294</v>
      </c>
      <c r="C9" s="378">
        <f>('Pivot Table for Data Exchange'!$J$9)*100</f>
        <v>0.22980281956874138</v>
      </c>
      <c r="D9" s="379">
        <f>SUM(E9:G9)</f>
        <v>13.649080252333965</v>
      </c>
      <c r="E9" s="378">
        <f>('Pivot Table for Data Exchange'!$J$12)*100</f>
        <v>13.56034026150834</v>
      </c>
      <c r="F9" s="378">
        <f>('Pivot Table for Data Exchange'!$J$15)*100</f>
        <v>7.7668947482775155E-2</v>
      </c>
      <c r="G9" s="380">
        <f>('Pivot Table for Data Exchange'!$J$18)*100</f>
        <v>1.1071043342848613E-2</v>
      </c>
      <c r="H9" s="378">
        <f>('Pivot Table for Data Exchange'!$J$21)*100</f>
        <v>0</v>
      </c>
      <c r="I9" s="381" t="s">
        <v>885</v>
      </c>
      <c r="J9" s="378">
        <f>('Pivot Table for Data Exchange'!$J$24)*100</f>
        <v>66.041946855996457</v>
      </c>
      <c r="K9" s="378">
        <f>('Pivot Table for Data Exchange'!$J$27)*100</f>
        <v>1.2253861586098738</v>
      </c>
      <c r="L9" s="379">
        <f>SUM(M9:O9)</f>
        <v>32.732666985393664</v>
      </c>
      <c r="M9" s="378">
        <f>('Pivot Table for Data Exchange'!$J$30)*100</f>
        <v>32.54634573538808</v>
      </c>
      <c r="N9" s="378">
        <f>('Pivot Table for Data Exchange'!$J$33)*100</f>
        <v>7.5734896585004055E-2</v>
      </c>
      <c r="O9" s="382">
        <f>('Pivot Table for Data Exchange'!$J$36)*100</f>
        <v>0.11058635342058112</v>
      </c>
      <c r="P9" s="378">
        <f>('Pivot Table for Data Exchange'!$J$39)*100</f>
        <v>0</v>
      </c>
      <c r="Q9" s="383">
        <f>SUM(B9,C9,D9,H9)</f>
        <v>100</v>
      </c>
      <c r="R9" s="383">
        <f>SUM(J9,K9,L9,P9)</f>
        <v>100</v>
      </c>
      <c r="S9" s="384"/>
      <c r="T9" s="365"/>
      <c r="U9" s="365"/>
      <c r="V9" s="365"/>
      <c r="W9" s="365"/>
      <c r="X9" s="365"/>
      <c r="Y9" s="365"/>
      <c r="Z9" s="365"/>
      <c r="AA9" s="365"/>
      <c r="AB9" s="365"/>
      <c r="AC9" s="365"/>
      <c r="AD9" s="365"/>
      <c r="AE9" s="365"/>
      <c r="AF9" s="365"/>
      <c r="AG9" s="384"/>
      <c r="AH9" s="384"/>
      <c r="AI9" s="384"/>
      <c r="AJ9" s="384"/>
      <c r="AK9" s="384"/>
      <c r="AL9" s="384"/>
      <c r="AM9" s="384"/>
      <c r="AN9" s="384"/>
      <c r="AO9" s="384"/>
    </row>
    <row r="10" spans="1:41" ht="15.75" customHeight="1">
      <c r="A10" s="349" t="s">
        <v>886</v>
      </c>
      <c r="B10" s="378">
        <f>('Pivot Table for Data Exchange'!$J$42)*100</f>
        <v>78.073297538345216</v>
      </c>
      <c r="C10" s="378">
        <f>('Pivot Table for Data Exchange'!$J$45)*100</f>
        <v>3.448627617061311</v>
      </c>
      <c r="D10" s="379">
        <f t="shared" ref="D10:D26" si="0">SUM(E10:G10)</f>
        <v>18.319356657123269</v>
      </c>
      <c r="E10" s="378">
        <f>('Pivot Table for Data Exchange'!$J$48)*100</f>
        <v>18.107603485901976</v>
      </c>
      <c r="F10" s="378">
        <f>('Pivot Table for Data Exchange'!$J$51)*100</f>
        <v>0.16026524260241748</v>
      </c>
      <c r="G10" s="385">
        <f>('Pivot Table for Data Exchange'!$J$54)*100</f>
        <v>5.1487928618876203E-2</v>
      </c>
      <c r="H10" s="378">
        <f>('Pivot Table for Data Exchange'!$J$57)*100</f>
        <v>0.15871818747020711</v>
      </c>
      <c r="I10" s="384" t="s">
        <v>886</v>
      </c>
      <c r="J10" s="378">
        <f>('Pivot Table for Data Exchange'!$J$60)*100</f>
        <v>53.240329874402946</v>
      </c>
      <c r="K10" s="378">
        <f>('Pivot Table for Data Exchange'!$J$63)*100</f>
        <v>3.0584644892271582</v>
      </c>
      <c r="L10" s="379">
        <f t="shared" ref="L10:L26" si="1">SUM(M10:O10)</f>
        <v>43.701205636369899</v>
      </c>
      <c r="M10" s="378">
        <f>('Pivot Table for Data Exchange'!$J$66)*100</f>
        <v>41.757246136850725</v>
      </c>
      <c r="N10" s="378">
        <f>('Pivot Table for Data Exchange'!$J$69)*100</f>
        <v>1.8504438681032223</v>
      </c>
      <c r="O10" s="386">
        <f>('Pivot Table for Data Exchange'!$J$72)*100</f>
        <v>9.3515631415953815E-2</v>
      </c>
      <c r="P10" s="387">
        <f>('Pivot Table for Data Exchange'!$J$75)*100</f>
        <v>0</v>
      </c>
      <c r="Q10" s="383">
        <f>SUM(B10,C10,D10,H10)</f>
        <v>100</v>
      </c>
      <c r="R10" s="383">
        <f t="shared" ref="R10:R74" si="2">SUM(J10,K10,L10,P10)</f>
        <v>100</v>
      </c>
      <c r="S10" s="384"/>
      <c r="T10" s="365"/>
      <c r="U10" s="365"/>
      <c r="V10" s="365"/>
      <c r="W10" s="365"/>
      <c r="X10" s="365"/>
      <c r="Y10" s="365"/>
      <c r="Z10" s="365"/>
      <c r="AA10" s="365"/>
      <c r="AB10" s="365"/>
      <c r="AC10" s="365"/>
      <c r="AD10" s="365"/>
      <c r="AE10" s="365"/>
      <c r="AF10" s="365"/>
      <c r="AG10" s="384"/>
      <c r="AH10" s="384"/>
      <c r="AI10" s="384"/>
      <c r="AJ10" s="384"/>
      <c r="AK10" s="384"/>
      <c r="AL10" s="384"/>
      <c r="AM10" s="384"/>
      <c r="AN10" s="384"/>
      <c r="AO10" s="384"/>
    </row>
    <row r="11" spans="1:41" ht="15.75" customHeight="1">
      <c r="A11" s="349" t="s">
        <v>887</v>
      </c>
      <c r="B11" s="378">
        <f>('Pivot Table for Data Exchange'!$J$78)*100</f>
        <v>96.477650690085696</v>
      </c>
      <c r="C11" s="378">
        <f>('Pivot Table for Data Exchange'!$J$81)*100</f>
        <v>0</v>
      </c>
      <c r="D11" s="379">
        <f t="shared" si="0"/>
        <v>3.5223493099143042</v>
      </c>
      <c r="E11" s="378">
        <f>('Pivot Table for Data Exchange'!$J$84)*100</f>
        <v>3.5223493099143042</v>
      </c>
      <c r="F11" s="378">
        <f>('Pivot Table for Data Exchange'!$J$87)*100</f>
        <v>0</v>
      </c>
      <c r="G11" s="386">
        <f>('Pivot Table for Data Exchange'!$J$90)*100</f>
        <v>0</v>
      </c>
      <c r="H11" s="378">
        <f>('Pivot Table for Data Exchange'!$J$93)*100</f>
        <v>0</v>
      </c>
      <c r="I11" s="384" t="s">
        <v>887</v>
      </c>
      <c r="J11" s="378">
        <f>('Pivot Table for Data Exchange'!$J$96)*100</f>
        <v>90.661150573725706</v>
      </c>
      <c r="K11" s="378">
        <f>('Pivot Table for Data Exchange'!$J$99)*100</f>
        <v>0</v>
      </c>
      <c r="L11" s="379">
        <f t="shared" si="1"/>
        <v>9.3388494262742956</v>
      </c>
      <c r="M11" s="378">
        <f>('Pivot Table for Data Exchange'!$J$102)*100</f>
        <v>9.3388494262742956</v>
      </c>
      <c r="N11" s="378">
        <f>('Pivot Table for Data Exchange'!$J$105)*100</f>
        <v>0</v>
      </c>
      <c r="O11" s="386">
        <f>('Pivot Table for Data Exchange'!$J$108)*100</f>
        <v>0</v>
      </c>
      <c r="P11" s="378">
        <f>('Pivot Table for Data Exchange'!$J$111)*100</f>
        <v>0</v>
      </c>
      <c r="Q11" s="383">
        <f t="shared" ref="Q11:Q74" si="3">SUM(B11,C11,D11,H11)</f>
        <v>100</v>
      </c>
      <c r="R11" s="383">
        <f t="shared" si="2"/>
        <v>100</v>
      </c>
      <c r="S11" s="384"/>
      <c r="T11" s="365"/>
      <c r="U11" s="365"/>
      <c r="V11" s="365"/>
      <c r="W11" s="365"/>
      <c r="X11" s="365"/>
      <c r="Y11" s="365"/>
      <c r="Z11" s="365"/>
      <c r="AA11" s="365"/>
      <c r="AB11" s="365"/>
      <c r="AC11" s="365"/>
      <c r="AD11" s="365"/>
      <c r="AE11" s="365"/>
      <c r="AF11" s="365"/>
      <c r="AG11" s="384"/>
      <c r="AH11" s="384"/>
      <c r="AI11" s="384"/>
      <c r="AJ11" s="384"/>
      <c r="AK11" s="384"/>
      <c r="AL11" s="384"/>
      <c r="AM11" s="384"/>
      <c r="AN11" s="384"/>
      <c r="AO11" s="384"/>
    </row>
    <row r="12" spans="1:41" ht="15.75" customHeight="1">
      <c r="A12" s="349" t="s">
        <v>918</v>
      </c>
      <c r="B12" s="378">
        <f>('Pivot Table for Data Exchange'!$J$114)*100</f>
        <v>0</v>
      </c>
      <c r="C12" s="378">
        <f>('Pivot Table for Data Exchange'!$J$117)*100</f>
        <v>0</v>
      </c>
      <c r="D12" s="379">
        <f t="shared" si="0"/>
        <v>0</v>
      </c>
      <c r="E12" s="378">
        <f>('Pivot Table for Data Exchange'!$J$120)*100</f>
        <v>0</v>
      </c>
      <c r="F12" s="378">
        <f>('Pivot Table for Data Exchange'!$J$123)*100</f>
        <v>0</v>
      </c>
      <c r="G12" s="388">
        <f>('Pivot Table for Data Exchange'!$J$126)*100</f>
        <v>0</v>
      </c>
      <c r="H12" s="378">
        <f>('Pivot Table for Data Exchange'!$J$129)*100</f>
        <v>0</v>
      </c>
      <c r="I12" s="384" t="s">
        <v>918</v>
      </c>
      <c r="J12" s="378">
        <f>('Pivot Table for Data Exchange'!$J$132)*100</f>
        <v>0</v>
      </c>
      <c r="K12" s="378">
        <f>('Pivot Table for Data Exchange'!$J$135)*100</f>
        <v>0</v>
      </c>
      <c r="L12" s="379">
        <f t="shared" si="1"/>
        <v>0</v>
      </c>
      <c r="M12" s="378">
        <f>('Pivot Table for Data Exchange'!$J$138)*100</f>
        <v>0</v>
      </c>
      <c r="N12" s="378">
        <f>('Pivot Table for Data Exchange'!$J$141)*100</f>
        <v>0</v>
      </c>
      <c r="O12" s="385">
        <f>('Pivot Table for Data Exchange'!$J$144)*100</f>
        <v>0</v>
      </c>
      <c r="P12" s="378">
        <f>('Pivot Table for Data Exchange'!$J$147)*100</f>
        <v>0</v>
      </c>
      <c r="Q12" s="383">
        <f t="shared" si="3"/>
        <v>0</v>
      </c>
      <c r="R12" s="383">
        <f t="shared" si="2"/>
        <v>0</v>
      </c>
      <c r="S12" s="384"/>
      <c r="T12" s="365"/>
      <c r="U12" s="365"/>
      <c r="V12" s="365"/>
      <c r="W12" s="365"/>
      <c r="X12" s="365"/>
      <c r="Y12" s="365"/>
      <c r="Z12" s="365"/>
      <c r="AA12" s="365"/>
      <c r="AB12" s="365"/>
      <c r="AC12" s="365"/>
      <c r="AD12" s="365"/>
      <c r="AE12" s="365"/>
      <c r="AF12" s="365"/>
      <c r="AG12" s="384"/>
      <c r="AH12" s="384"/>
      <c r="AI12" s="384"/>
      <c r="AJ12" s="384"/>
      <c r="AK12" s="384"/>
      <c r="AL12" s="384"/>
      <c r="AM12" s="384"/>
      <c r="AN12" s="384"/>
      <c r="AO12" s="384"/>
    </row>
    <row r="13" spans="1:41" ht="9.75" customHeight="1">
      <c r="B13" s="378"/>
      <c r="C13" s="378"/>
      <c r="D13" s="379"/>
      <c r="E13" s="378"/>
      <c r="F13" s="378"/>
      <c r="G13" s="386"/>
      <c r="H13" s="378"/>
      <c r="I13" s="384"/>
      <c r="J13" s="378"/>
      <c r="K13" s="378"/>
      <c r="L13" s="379"/>
      <c r="M13" s="378"/>
      <c r="N13" s="378"/>
      <c r="O13" s="386"/>
      <c r="P13" s="378"/>
      <c r="Q13" s="383">
        <f t="shared" si="3"/>
        <v>0</v>
      </c>
      <c r="R13" s="383">
        <f t="shared" si="2"/>
        <v>0</v>
      </c>
      <c r="S13" s="384"/>
      <c r="T13" s="365"/>
      <c r="U13" s="365"/>
      <c r="V13" s="365"/>
      <c r="W13" s="365"/>
      <c r="X13" s="365"/>
      <c r="Y13" s="365"/>
      <c r="Z13" s="365"/>
      <c r="AA13" s="365"/>
      <c r="AB13" s="365"/>
      <c r="AC13" s="365"/>
      <c r="AD13" s="365"/>
      <c r="AE13" s="365"/>
      <c r="AF13" s="365"/>
      <c r="AG13" s="384"/>
      <c r="AH13" s="384"/>
      <c r="AI13" s="384"/>
      <c r="AJ13" s="384"/>
      <c r="AK13" s="384"/>
      <c r="AL13" s="384"/>
      <c r="AM13" s="384"/>
      <c r="AN13" s="384"/>
      <c r="AO13" s="384"/>
    </row>
    <row r="14" spans="1:41" ht="15.75" customHeight="1">
      <c r="A14" s="349" t="s">
        <v>889</v>
      </c>
      <c r="B14" s="378">
        <f>('Pivot Table for Data Exchange'!$J$150)*100</f>
        <v>84.232534049468555</v>
      </c>
      <c r="C14" s="378">
        <f>('Pivot Table for Data Exchange'!$J$153)*100</f>
        <v>1.7177861999375401</v>
      </c>
      <c r="D14" s="379">
        <f t="shared" si="0"/>
        <v>14.049679750593905</v>
      </c>
      <c r="E14" s="378">
        <f>('Pivot Table for Data Exchange'!$J$156)*100</f>
        <v>13.992697326422018</v>
      </c>
      <c r="F14" s="378">
        <f>('Pivot Table for Data Exchange'!$J$159)*100</f>
        <v>3.418019157858436E-2</v>
      </c>
      <c r="G14" s="386">
        <f>('Pivot Table for Data Exchange'!$J$162)*100</f>
        <v>2.280223259330131E-2</v>
      </c>
      <c r="H14" s="378">
        <f>('Pivot Table for Data Exchange'!$J$165)*100</f>
        <v>0</v>
      </c>
      <c r="I14" s="384" t="s">
        <v>889</v>
      </c>
      <c r="J14" s="378">
        <f>('Pivot Table for Data Exchange'!$J$168)*100</f>
        <v>70.98071856078171</v>
      </c>
      <c r="K14" s="378">
        <f>('Pivot Table for Data Exchange'!$J$171)*100</f>
        <v>11.107358008102356</v>
      </c>
      <c r="L14" s="379">
        <f t="shared" si="1"/>
        <v>17.911923431115937</v>
      </c>
      <c r="M14" s="378">
        <f>('Pivot Table for Data Exchange'!$J$174)*100</f>
        <v>17.908058495478791</v>
      </c>
      <c r="N14" s="378">
        <f>('Pivot Table for Data Exchange'!$J$177)*100</f>
        <v>1.449350863929868E-3</v>
      </c>
      <c r="O14" s="386">
        <f>('Pivot Table for Data Exchange'!$J$180)*100</f>
        <v>2.4155847732164472E-3</v>
      </c>
      <c r="P14" s="378">
        <f>('Pivot Table for Data Exchange'!$J$183)*100</f>
        <v>0</v>
      </c>
      <c r="Q14" s="383">
        <f t="shared" si="3"/>
        <v>100</v>
      </c>
      <c r="R14" s="383">
        <f t="shared" si="2"/>
        <v>100</v>
      </c>
      <c r="S14" s="384"/>
      <c r="T14" s="365"/>
      <c r="U14" s="365"/>
      <c r="V14" s="365"/>
      <c r="W14" s="365"/>
      <c r="X14" s="365"/>
      <c r="Y14" s="365"/>
      <c r="Z14" s="365"/>
      <c r="AA14" s="365"/>
      <c r="AB14" s="365"/>
      <c r="AC14" s="365"/>
      <c r="AD14" s="365"/>
      <c r="AE14" s="365"/>
      <c r="AF14" s="365"/>
      <c r="AG14" s="384"/>
      <c r="AH14" s="384"/>
      <c r="AI14" s="384"/>
      <c r="AJ14" s="384"/>
      <c r="AK14" s="384"/>
      <c r="AL14" s="384"/>
      <c r="AM14" s="384"/>
      <c r="AN14" s="384"/>
      <c r="AO14" s="384"/>
    </row>
    <row r="15" spans="1:41" ht="15.75" customHeight="1">
      <c r="A15" s="349" t="s">
        <v>890</v>
      </c>
      <c r="B15" s="378">
        <f>('Pivot Table for Data Exchange'!$J$186)*100</f>
        <v>81.209130273449063</v>
      </c>
      <c r="C15" s="378">
        <f>('Pivot Table for Data Exchange'!$J$189)*100</f>
        <v>3.9822580808175605</v>
      </c>
      <c r="D15" s="379">
        <f t="shared" si="0"/>
        <v>14.808611645733377</v>
      </c>
      <c r="E15" s="378">
        <f>('Pivot Table for Data Exchange'!$J$192)*100</f>
        <v>13.733635866167482</v>
      </c>
      <c r="F15" s="378">
        <f>('Pivot Table for Data Exchange'!$J$195)*100</f>
        <v>0.97221039074671134</v>
      </c>
      <c r="G15" s="385">
        <f>('Pivot Table for Data Exchange'!$J$198)*100</f>
        <v>0.10276538881918344</v>
      </c>
      <c r="H15" s="378">
        <f>('Pivot Table for Data Exchange'!$J$201)*100</f>
        <v>0</v>
      </c>
      <c r="I15" s="384" t="s">
        <v>890</v>
      </c>
      <c r="J15" s="378">
        <f>('Pivot Table for Data Exchange'!$J$204)*100</f>
        <v>60.476175865983492</v>
      </c>
      <c r="K15" s="378">
        <f>('Pivot Table for Data Exchange'!$J$207)*100</f>
        <v>5.2143098211272356</v>
      </c>
      <c r="L15" s="379">
        <f t="shared" si="1"/>
        <v>34.30951431288927</v>
      </c>
      <c r="M15" s="378">
        <f>('Pivot Table for Data Exchange'!$J$210)*100</f>
        <v>33.698646948731323</v>
      </c>
      <c r="N15" s="378">
        <f>('Pivot Table for Data Exchange'!$J$213)*100</f>
        <v>0.4151198110023625</v>
      </c>
      <c r="O15" s="385">
        <f>('Pivot Table for Data Exchange'!$J$216)*100</f>
        <v>0.19574755315558556</v>
      </c>
      <c r="P15" s="378">
        <f>('Pivot Table for Data Exchange'!$J$219)*100</f>
        <v>0</v>
      </c>
      <c r="Q15" s="383">
        <f t="shared" si="3"/>
        <v>100</v>
      </c>
      <c r="R15" s="383">
        <f t="shared" si="2"/>
        <v>100</v>
      </c>
      <c r="S15" s="384"/>
      <c r="T15" s="365"/>
      <c r="U15" s="365"/>
      <c r="V15" s="365"/>
      <c r="W15" s="365"/>
      <c r="X15" s="365"/>
      <c r="Y15" s="365"/>
      <c r="Z15" s="365"/>
      <c r="AA15" s="365"/>
      <c r="AB15" s="365"/>
      <c r="AC15" s="365"/>
      <c r="AD15" s="365"/>
      <c r="AE15" s="365"/>
      <c r="AF15" s="365"/>
      <c r="AG15" s="384"/>
      <c r="AH15" s="384"/>
      <c r="AI15" s="384"/>
      <c r="AJ15" s="384"/>
      <c r="AK15" s="384"/>
      <c r="AL15" s="384"/>
      <c r="AM15" s="384"/>
      <c r="AN15" s="384"/>
      <c r="AO15" s="384"/>
    </row>
    <row r="16" spans="1:41" ht="15.75" customHeight="1">
      <c r="A16" s="349" t="s">
        <v>891</v>
      </c>
      <c r="B16" s="378">
        <f>('Pivot Table for Data Exchange'!$J$222)*100</f>
        <v>87.983309624839151</v>
      </c>
      <c r="C16" s="378">
        <f>('Pivot Table for Data Exchange'!$J$225)*100</f>
        <v>0</v>
      </c>
      <c r="D16" s="379">
        <f t="shared" si="0"/>
        <v>12.016690375160842</v>
      </c>
      <c r="E16" s="378">
        <f>('Pivot Table for Data Exchange'!$J$228)*100</f>
        <v>12.016690375160842</v>
      </c>
      <c r="F16" s="378">
        <f>('Pivot Table for Data Exchange'!$J$231)*100</f>
        <v>0</v>
      </c>
      <c r="G16" s="386">
        <f>('Pivot Table for Data Exchange'!$J$234)*100</f>
        <v>0</v>
      </c>
      <c r="H16" s="378">
        <f>('Pivot Table for Data Exchange'!$J$237)*100</f>
        <v>0</v>
      </c>
      <c r="I16" s="384" t="s">
        <v>891</v>
      </c>
      <c r="J16" s="378">
        <f>('Pivot Table for Data Exchange'!$J$240)*100</f>
        <v>77.097492773615784</v>
      </c>
      <c r="K16" s="378">
        <f>('Pivot Table for Data Exchange'!$J$243)*100</f>
        <v>0</v>
      </c>
      <c r="L16" s="379">
        <f t="shared" si="1"/>
        <v>22.902507226384198</v>
      </c>
      <c r="M16" s="378">
        <f>('Pivot Table for Data Exchange'!$J$246)*100</f>
        <v>22.902507226384198</v>
      </c>
      <c r="N16" s="378">
        <f>('Pivot Table for Data Exchange'!$J$249)*100</f>
        <v>0</v>
      </c>
      <c r="O16" s="386">
        <f>('Pivot Table for Data Exchange'!$J$252)*100</f>
        <v>0</v>
      </c>
      <c r="P16" s="378">
        <f>('Pivot Table for Data Exchange'!$J$255)*100</f>
        <v>0</v>
      </c>
      <c r="Q16" s="383">
        <f t="shared" si="3"/>
        <v>100</v>
      </c>
      <c r="R16" s="383">
        <f t="shared" si="2"/>
        <v>99.999999999999986</v>
      </c>
      <c r="S16" s="384"/>
      <c r="T16" s="365"/>
      <c r="U16" s="365"/>
      <c r="V16" s="365"/>
      <c r="W16" s="365"/>
      <c r="X16" s="365"/>
      <c r="Y16" s="365"/>
      <c r="Z16" s="365"/>
      <c r="AA16" s="365"/>
      <c r="AB16" s="365"/>
      <c r="AC16" s="365"/>
      <c r="AD16" s="365"/>
      <c r="AE16" s="365"/>
      <c r="AF16" s="365"/>
      <c r="AG16" s="384"/>
      <c r="AH16" s="384"/>
      <c r="AI16" s="384"/>
      <c r="AJ16" s="384"/>
      <c r="AK16" s="384"/>
      <c r="AL16" s="384"/>
      <c r="AM16" s="384"/>
      <c r="AN16" s="384"/>
      <c r="AO16" s="384"/>
    </row>
    <row r="17" spans="1:41" ht="15.75" customHeight="1">
      <c r="A17" s="349" t="s">
        <v>892</v>
      </c>
      <c r="B17" s="378">
        <f>('Pivot Table for Data Exchange'!$J$258)*100</f>
        <v>68.064087310607107</v>
      </c>
      <c r="C17" s="378">
        <f>('Pivot Table for Data Exchange'!$J$261)*100</f>
        <v>3.2117201726545712</v>
      </c>
      <c r="D17" s="379">
        <f t="shared" si="0"/>
        <v>28.724192516738327</v>
      </c>
      <c r="E17" s="378">
        <f>('Pivot Table for Data Exchange'!$J$264)*100</f>
        <v>28.484616491598192</v>
      </c>
      <c r="F17" s="378">
        <f>('Pivot Table for Data Exchange'!$J$267)*100</f>
        <v>0.23957602514013634</v>
      </c>
      <c r="G17" s="386">
        <f>('Pivot Table for Data Exchange'!$J$270)*100</f>
        <v>0</v>
      </c>
      <c r="H17" s="378">
        <f>('Pivot Table for Data Exchange'!$J$273)*100</f>
        <v>0</v>
      </c>
      <c r="I17" s="384" t="s">
        <v>892</v>
      </c>
      <c r="J17" s="378">
        <f>('Pivot Table for Data Exchange'!$J$276)*100</f>
        <v>48.391558309296506</v>
      </c>
      <c r="K17" s="378">
        <f>('Pivot Table for Data Exchange'!$J$279)*100</f>
        <v>7.4810935826593168</v>
      </c>
      <c r="L17" s="379">
        <f t="shared" si="1"/>
        <v>44.127348108044181</v>
      </c>
      <c r="M17" s="378">
        <f>('Pivot Table for Data Exchange'!$J$282)*100</f>
        <v>43.452729028824486</v>
      </c>
      <c r="N17" s="378">
        <f>('Pivot Table for Data Exchange'!$J$285)*100</f>
        <v>0.67461907921969555</v>
      </c>
      <c r="O17" s="386">
        <f>('Pivot Table for Data Exchange'!$J$288)*100</f>
        <v>0</v>
      </c>
      <c r="P17" s="378">
        <f>('Pivot Table for Data Exchange'!$J$291)*100</f>
        <v>0</v>
      </c>
      <c r="Q17" s="383">
        <f t="shared" si="3"/>
        <v>100</v>
      </c>
      <c r="R17" s="383">
        <f>SUM(J17,K17,L17,P17)</f>
        <v>100</v>
      </c>
      <c r="S17" s="384"/>
      <c r="T17" s="365"/>
      <c r="U17" s="365"/>
      <c r="V17" s="365"/>
      <c r="W17" s="365"/>
      <c r="X17" s="365"/>
      <c r="Y17" s="365"/>
      <c r="Z17" s="365"/>
      <c r="AA17" s="365"/>
      <c r="AB17" s="365"/>
      <c r="AC17" s="365"/>
      <c r="AD17" s="365"/>
      <c r="AE17" s="365"/>
      <c r="AF17" s="365"/>
      <c r="AG17" s="384"/>
      <c r="AH17" s="384"/>
      <c r="AI17" s="384"/>
      <c r="AJ17" s="384"/>
      <c r="AK17" s="384"/>
      <c r="AL17" s="384"/>
      <c r="AM17" s="384"/>
      <c r="AN17" s="384"/>
      <c r="AO17" s="384"/>
    </row>
    <row r="18" spans="1:41" ht="11.25" customHeight="1">
      <c r="B18" s="378"/>
      <c r="C18" s="378"/>
      <c r="D18" s="379"/>
      <c r="E18" s="378"/>
      <c r="F18" s="378"/>
      <c r="G18" s="386"/>
      <c r="H18" s="378"/>
      <c r="I18" s="384"/>
      <c r="J18" s="378"/>
      <c r="K18" s="378"/>
      <c r="L18" s="379"/>
      <c r="M18" s="378"/>
      <c r="N18" s="378"/>
      <c r="O18" s="386"/>
      <c r="P18" s="378"/>
      <c r="Q18" s="383">
        <f t="shared" si="3"/>
        <v>0</v>
      </c>
      <c r="R18" s="383">
        <f t="shared" si="2"/>
        <v>0</v>
      </c>
      <c r="S18" s="384"/>
      <c r="T18" s="365"/>
      <c r="U18" s="365"/>
      <c r="V18" s="365"/>
      <c r="W18" s="365"/>
      <c r="X18" s="365"/>
      <c r="Y18" s="365"/>
      <c r="Z18" s="365"/>
      <c r="AA18" s="365"/>
      <c r="AB18" s="365"/>
      <c r="AC18" s="365"/>
      <c r="AD18" s="365"/>
      <c r="AE18" s="365"/>
      <c r="AF18" s="365"/>
      <c r="AG18" s="384"/>
      <c r="AH18" s="384"/>
      <c r="AI18" s="384"/>
      <c r="AJ18" s="384"/>
      <c r="AK18" s="384"/>
      <c r="AL18" s="384"/>
      <c r="AM18" s="384"/>
      <c r="AN18" s="384"/>
      <c r="AO18" s="384"/>
    </row>
    <row r="19" spans="1:41" ht="15.75" customHeight="1">
      <c r="A19" s="349" t="s">
        <v>893</v>
      </c>
      <c r="B19" s="378">
        <f>('Pivot Table for Data Exchange'!$J$294)*100</f>
        <v>80.11473687262162</v>
      </c>
      <c r="C19" s="378">
        <f>('Pivot Table for Data Exchange'!$J$297)*100</f>
        <v>5.259484417041401</v>
      </c>
      <c r="D19" s="379">
        <f t="shared" si="0"/>
        <v>14.513700214912838</v>
      </c>
      <c r="E19" s="378">
        <f>('Pivot Table for Data Exchange'!$J$300)*100</f>
        <v>13.547440272664169</v>
      </c>
      <c r="F19" s="378">
        <f>('Pivot Table for Data Exchange'!$J$303)*100</f>
        <v>0.96051653472327447</v>
      </c>
      <c r="G19" s="389">
        <f>('Pivot Table for Data Exchange'!$J$306)*100</f>
        <v>5.7434075253954336E-3</v>
      </c>
      <c r="H19" s="378">
        <f>('Pivot Table for Data Exchange'!$J$309)*100</f>
        <v>0.11207849542414518</v>
      </c>
      <c r="I19" s="384" t="s">
        <v>893</v>
      </c>
      <c r="J19" s="378">
        <f>('Pivot Table for Data Exchange'!$J$312)*100</f>
        <v>60.607076643919378</v>
      </c>
      <c r="K19" s="378">
        <f>('Pivot Table for Data Exchange'!$J$315)*100</f>
        <v>6.4529998816614729</v>
      </c>
      <c r="L19" s="379">
        <f t="shared" si="1"/>
        <v>32.829474182478009</v>
      </c>
      <c r="M19" s="378">
        <f>('Pivot Table for Data Exchange'!$J$318)*100</f>
        <v>32.040156206855748</v>
      </c>
      <c r="N19" s="378">
        <f>('Pivot Table for Data Exchange'!$J$321)*100</f>
        <v>0.76801704074789945</v>
      </c>
      <c r="O19" s="385">
        <f>('Pivot Table for Data Exchange'!$J$324)*100</f>
        <v>2.1300934874363929E-2</v>
      </c>
      <c r="P19" s="378">
        <f>('Pivot Table for Data Exchange'!$J$327)*100</f>
        <v>0.1104492919411463</v>
      </c>
      <c r="Q19" s="383">
        <f t="shared" si="3"/>
        <v>100.00000000000001</v>
      </c>
      <c r="R19" s="383">
        <f t="shared" si="2"/>
        <v>100.00000000000001</v>
      </c>
      <c r="S19" s="384"/>
      <c r="T19" s="365"/>
      <c r="U19" s="365"/>
      <c r="V19" s="365"/>
      <c r="W19" s="365"/>
      <c r="X19" s="365"/>
      <c r="Y19" s="365"/>
      <c r="Z19" s="365"/>
      <c r="AA19" s="365"/>
      <c r="AB19" s="365"/>
      <c r="AC19" s="365"/>
      <c r="AD19" s="365"/>
      <c r="AE19" s="365"/>
      <c r="AF19" s="365"/>
      <c r="AG19" s="384"/>
      <c r="AH19" s="384"/>
      <c r="AI19" s="384"/>
      <c r="AJ19" s="384"/>
      <c r="AK19" s="384"/>
      <c r="AL19" s="384"/>
      <c r="AM19" s="384"/>
      <c r="AN19" s="384"/>
      <c r="AO19" s="384"/>
    </row>
    <row r="20" spans="1:41" ht="15.75" customHeight="1">
      <c r="A20" s="349" t="s">
        <v>894</v>
      </c>
      <c r="B20" s="378">
        <f>('Pivot Table for Data Exchange'!$J$330)*100</f>
        <v>84.317568122924555</v>
      </c>
      <c r="C20" s="378">
        <f>('Pivot Table for Data Exchange'!$J$333)*100</f>
        <v>0.47783126494381895</v>
      </c>
      <c r="D20" s="379">
        <f t="shared" si="0"/>
        <v>15.204600612131625</v>
      </c>
      <c r="E20" s="378">
        <f>('Pivot Table for Data Exchange'!$J$336)*100</f>
        <v>14.808630286673379</v>
      </c>
      <c r="F20" s="390">
        <f>('Pivot Table for Data Exchange'!$J$339)*100</f>
        <v>6.5578558486058744E-2</v>
      </c>
      <c r="G20" s="385">
        <f>('Pivot Table for Data Exchange'!$J$342)*100</f>
        <v>0.33039176697218581</v>
      </c>
      <c r="H20" s="378">
        <f>('Pivot Table for Data Exchange'!$J$345)*100</f>
        <v>0</v>
      </c>
      <c r="I20" s="384" t="s">
        <v>894</v>
      </c>
      <c r="J20" s="378">
        <f>('Pivot Table for Data Exchange'!$J$348)*100</f>
        <v>70.791581026612931</v>
      </c>
      <c r="K20" s="378">
        <f>('Pivot Table for Data Exchange'!$J$351)*100</f>
        <v>3.0692950377706003</v>
      </c>
      <c r="L20" s="379">
        <f t="shared" si="1"/>
        <v>26.139123935616475</v>
      </c>
      <c r="M20" s="378">
        <f>('Pivot Table for Data Exchange'!$J$354)*100</f>
        <v>25.671462509676214</v>
      </c>
      <c r="N20" s="390">
        <f>('Pivot Table for Data Exchange'!$J$357)*100</f>
        <v>5.7523423110802656E-2</v>
      </c>
      <c r="O20" s="386">
        <f>('Pivot Table for Data Exchange'!$J$360)*100</f>
        <v>0.41013800282945834</v>
      </c>
      <c r="P20" s="378">
        <f>('Pivot Table for Data Exchange'!$J$363)*100</f>
        <v>0</v>
      </c>
      <c r="Q20" s="383">
        <f t="shared" si="3"/>
        <v>100</v>
      </c>
      <c r="R20" s="383">
        <f t="shared" si="2"/>
        <v>100</v>
      </c>
      <c r="S20" s="384"/>
      <c r="T20" s="365"/>
      <c r="U20" s="365"/>
      <c r="V20" s="365"/>
      <c r="W20" s="365"/>
      <c r="X20" s="365"/>
      <c r="Y20" s="365"/>
      <c r="Z20" s="365"/>
      <c r="AA20" s="365"/>
      <c r="AB20" s="365"/>
      <c r="AC20" s="365"/>
      <c r="AD20" s="365"/>
      <c r="AE20" s="365"/>
      <c r="AF20" s="365"/>
      <c r="AG20" s="384"/>
      <c r="AH20" s="384"/>
      <c r="AI20" s="384"/>
      <c r="AJ20" s="384"/>
      <c r="AK20" s="384"/>
      <c r="AL20" s="384"/>
      <c r="AM20" s="384"/>
      <c r="AN20" s="384"/>
      <c r="AO20" s="384"/>
    </row>
    <row r="21" spans="1:41" ht="15.75" customHeight="1">
      <c r="A21" s="349" t="s">
        <v>895</v>
      </c>
      <c r="B21" s="378">
        <f>('Pivot Table for Data Exchange'!$J$366)*100</f>
        <v>81.430963568845016</v>
      </c>
      <c r="C21" s="378">
        <f>('Pivot Table for Data Exchange'!$J$369)*100</f>
        <v>1.0004127987589406</v>
      </c>
      <c r="D21" s="379">
        <f t="shared" si="0"/>
        <v>17.532670192101229</v>
      </c>
      <c r="E21" s="378">
        <f>('Pivot Table for Data Exchange'!$J$372)*100</f>
        <v>15.998739965078556</v>
      </c>
      <c r="F21" s="378">
        <f>('Pivot Table for Data Exchange'!$J$375)*100</f>
        <v>1.0326627018011676</v>
      </c>
      <c r="G21" s="386">
        <f>('Pivot Table for Data Exchange'!$J$378)*100</f>
        <v>0.50126752522150475</v>
      </c>
      <c r="H21" s="378">
        <f>('Pivot Table for Data Exchange'!$J$381)*100</f>
        <v>3.5953440294818208E-2</v>
      </c>
      <c r="I21" s="384" t="s">
        <v>895</v>
      </c>
      <c r="J21" s="378">
        <f>('Pivot Table for Data Exchange'!$J$384)*100</f>
        <v>71.567949031515283</v>
      </c>
      <c r="K21" s="378">
        <f>('Pivot Table for Data Exchange'!$J$387)*100</f>
        <v>5.7667643005852067</v>
      </c>
      <c r="L21" s="379">
        <f t="shared" si="1"/>
        <v>22.426073625121543</v>
      </c>
      <c r="M21" s="378">
        <f>('Pivot Table for Data Exchange'!$J$390)*100</f>
        <v>19.189240781946275</v>
      </c>
      <c r="N21" s="378">
        <f>('Pivot Table for Data Exchange'!$J$393)*100</f>
        <v>1.3106011346214648</v>
      </c>
      <c r="O21" s="386">
        <f>('Pivot Table for Data Exchange'!$J$396)*100</f>
        <v>1.926231708553805</v>
      </c>
      <c r="P21" s="378">
        <f>('Pivot Table for Data Exchange'!$J$399)*100</f>
        <v>0.23921304277797331</v>
      </c>
      <c r="Q21" s="383">
        <f t="shared" si="3"/>
        <v>100.00000000000001</v>
      </c>
      <c r="R21" s="383">
        <f t="shared" si="2"/>
        <v>100.00000000000001</v>
      </c>
      <c r="S21" s="384"/>
      <c r="T21" s="365"/>
      <c r="U21" s="365"/>
      <c r="V21" s="365"/>
      <c r="W21" s="365"/>
      <c r="X21" s="365"/>
      <c r="Y21" s="365"/>
      <c r="Z21" s="365"/>
      <c r="AA21" s="365"/>
      <c r="AB21" s="365"/>
      <c r="AC21" s="365"/>
      <c r="AD21" s="365"/>
      <c r="AE21" s="365"/>
      <c r="AF21" s="365"/>
      <c r="AG21" s="384"/>
      <c r="AH21" s="384"/>
      <c r="AI21" s="384"/>
      <c r="AJ21" s="384"/>
      <c r="AK21" s="384"/>
      <c r="AL21" s="384"/>
      <c r="AM21" s="384"/>
      <c r="AN21" s="384"/>
      <c r="AO21" s="384"/>
    </row>
    <row r="22" spans="1:41" ht="15.75" customHeight="1">
      <c r="A22" s="349" t="s">
        <v>896</v>
      </c>
      <c r="B22" s="378">
        <f>('Pivot Table for Data Exchange'!$J$402)*100</f>
        <v>91.303436539255188</v>
      </c>
      <c r="C22" s="378">
        <f>('Pivot Table for Data Exchange'!$J$405)*100</f>
        <v>0.77357606896263897</v>
      </c>
      <c r="D22" s="379">
        <f>SUM(E22:G22)</f>
        <v>7.9229873917821685</v>
      </c>
      <c r="E22" s="378">
        <f>('Pivot Table for Data Exchange'!$J$408)*100</f>
        <v>7.9229873917821685</v>
      </c>
      <c r="F22" s="378">
        <f>('Pivot Table for Data Exchange'!$J$411)*100</f>
        <v>0</v>
      </c>
      <c r="G22" s="385">
        <f>('Pivot Table for Data Exchange'!$J$414)*100</f>
        <v>0</v>
      </c>
      <c r="H22" s="378">
        <f>('Pivot Table for Data Exchange'!$J$417)*100</f>
        <v>0</v>
      </c>
      <c r="I22" s="384" t="s">
        <v>896</v>
      </c>
      <c r="J22" s="378">
        <f>('Pivot Table for Data Exchange'!$J$420)*100</f>
        <v>67.042765287669397</v>
      </c>
      <c r="K22" s="378">
        <f>('Pivot Table for Data Exchange'!$J$423)*100</f>
        <v>10.091312986983993</v>
      </c>
      <c r="L22" s="379">
        <f>SUM(M22:O22)</f>
        <v>22.86592172534661</v>
      </c>
      <c r="M22" s="378">
        <f>('Pivot Table for Data Exchange'!$J$426)*100</f>
        <v>20.526165970842357</v>
      </c>
      <c r="N22" s="378">
        <f>('Pivot Table for Data Exchange'!$J$429)*100</f>
        <v>2.2878480051796117</v>
      </c>
      <c r="O22" s="386">
        <f>('Pivot Table for Data Exchange'!$J$432)*100</f>
        <v>5.1907749324641109E-2</v>
      </c>
      <c r="P22" s="378">
        <f>('Pivot Table for Data Exchange'!$J$435)*100</f>
        <v>0</v>
      </c>
      <c r="Q22" s="383">
        <f t="shared" si="3"/>
        <v>100</v>
      </c>
      <c r="R22" s="383">
        <f t="shared" si="2"/>
        <v>100</v>
      </c>
      <c r="S22" s="384"/>
      <c r="T22" s="365"/>
      <c r="U22" s="365"/>
      <c r="V22" s="365"/>
      <c r="W22" s="365"/>
      <c r="X22" s="365"/>
      <c r="Y22" s="365"/>
      <c r="Z22" s="365"/>
      <c r="AA22" s="365"/>
      <c r="AB22" s="365"/>
      <c r="AC22" s="365"/>
      <c r="AD22" s="365"/>
      <c r="AE22" s="365"/>
      <c r="AF22" s="365"/>
      <c r="AG22" s="384"/>
      <c r="AH22" s="384"/>
      <c r="AI22" s="384"/>
      <c r="AJ22" s="384"/>
      <c r="AK22" s="384"/>
      <c r="AL22" s="384"/>
      <c r="AM22" s="384"/>
      <c r="AN22" s="384"/>
      <c r="AO22" s="384"/>
    </row>
    <row r="23" spans="1:41" ht="9.75" customHeight="1">
      <c r="B23" s="378"/>
      <c r="C23" s="378"/>
      <c r="D23" s="379"/>
      <c r="E23" s="378"/>
      <c r="F23" s="378"/>
      <c r="G23" s="386"/>
      <c r="H23" s="378"/>
      <c r="I23" s="384"/>
      <c r="J23" s="378"/>
      <c r="K23" s="378"/>
      <c r="L23" s="379"/>
      <c r="M23" s="378"/>
      <c r="N23" s="378"/>
      <c r="O23" s="386"/>
      <c r="P23" s="378"/>
      <c r="Q23" s="383">
        <f t="shared" si="3"/>
        <v>0</v>
      </c>
      <c r="R23" s="383">
        <f t="shared" si="2"/>
        <v>0</v>
      </c>
      <c r="S23" s="384"/>
      <c r="T23" s="365"/>
      <c r="U23" s="365"/>
      <c r="V23" s="365"/>
      <c r="W23" s="365"/>
      <c r="X23" s="365"/>
      <c r="Y23" s="365"/>
      <c r="Z23" s="365"/>
      <c r="AA23" s="365"/>
      <c r="AB23" s="365"/>
      <c r="AC23" s="365"/>
      <c r="AD23" s="365"/>
      <c r="AE23" s="365"/>
      <c r="AF23" s="365"/>
      <c r="AG23" s="384"/>
      <c r="AH23" s="384"/>
      <c r="AI23" s="384"/>
      <c r="AJ23" s="384"/>
      <c r="AK23" s="384"/>
      <c r="AL23" s="384"/>
      <c r="AM23" s="384"/>
      <c r="AN23" s="384"/>
      <c r="AO23" s="384"/>
    </row>
    <row r="24" spans="1:41" ht="15.75" customHeight="1">
      <c r="A24" s="349" t="s">
        <v>897</v>
      </c>
      <c r="B24" s="378">
        <f>('Pivot Table for Data Exchange'!$J$438)*100</f>
        <v>78.333566120729614</v>
      </c>
      <c r="C24" s="378">
        <f>('Pivot Table for Data Exchange'!$J$441)*100</f>
        <v>2.1972768597857413</v>
      </c>
      <c r="D24" s="379">
        <f>SUM(E24:G24)</f>
        <v>18.824504618299517</v>
      </c>
      <c r="E24" s="378">
        <f>('Pivot Table for Data Exchange'!$J$444)*100</f>
        <v>13.34708465836594</v>
      </c>
      <c r="F24" s="378">
        <f>('Pivot Table for Data Exchange'!$J$447)*100</f>
        <v>0.38612344209565336</v>
      </c>
      <c r="G24" s="386">
        <f>('Pivot Table for Data Exchange'!$J$450)*100</f>
        <v>5.0912965178379244</v>
      </c>
      <c r="H24" s="378">
        <f>('Pivot Table for Data Exchange'!$J$453)*100</f>
        <v>0.64465240118512401</v>
      </c>
      <c r="I24" s="384" t="s">
        <v>897</v>
      </c>
      <c r="J24" s="378">
        <f>('Pivot Table for Data Exchange'!$J$456)*100</f>
        <v>57.944969741613065</v>
      </c>
      <c r="K24" s="378">
        <f>('Pivot Table for Data Exchange'!$J$459)*100</f>
        <v>3.1703042349041448</v>
      </c>
      <c r="L24" s="379">
        <f>SUM(M24:O24)</f>
        <v>34.771109431853546</v>
      </c>
      <c r="M24" s="378">
        <f>('Pivot Table for Data Exchange'!$J$462)*100</f>
        <v>31.621760638061431</v>
      </c>
      <c r="N24" s="378">
        <f>('Pivot Table for Data Exchange'!$J$465)*100</f>
        <v>0.15684830165674987</v>
      </c>
      <c r="O24" s="386">
        <f>('Pivot Table for Data Exchange'!$J$468)*100</f>
        <v>2.9925004921353597</v>
      </c>
      <c r="P24" s="378">
        <f>('Pivot Table for Data Exchange'!$J$471)*100</f>
        <v>4.1136165916292535</v>
      </c>
      <c r="Q24" s="383">
        <f t="shared" si="3"/>
        <v>100</v>
      </c>
      <c r="R24" s="383">
        <f t="shared" si="2"/>
        <v>100.00000000000001</v>
      </c>
      <c r="S24" s="384"/>
      <c r="T24" s="365"/>
      <c r="U24" s="365"/>
      <c r="V24" s="365"/>
      <c r="W24" s="365"/>
      <c r="X24" s="365"/>
      <c r="Y24" s="365"/>
      <c r="Z24" s="365"/>
      <c r="AA24" s="365"/>
      <c r="AB24" s="365"/>
      <c r="AC24" s="365"/>
      <c r="AD24" s="365"/>
      <c r="AE24" s="365"/>
      <c r="AF24" s="365"/>
      <c r="AG24" s="384"/>
      <c r="AH24" s="384"/>
      <c r="AI24" s="384"/>
      <c r="AJ24" s="384"/>
      <c r="AK24" s="384"/>
      <c r="AL24" s="384"/>
      <c r="AM24" s="384"/>
      <c r="AN24" s="384"/>
      <c r="AO24" s="384"/>
    </row>
    <row r="25" spans="1:41" ht="15.75" customHeight="1">
      <c r="A25" s="349" t="s">
        <v>898</v>
      </c>
      <c r="B25" s="378">
        <f>('Pivot Table for Data Exchange'!$J$474)*100</f>
        <v>81.470051720203344</v>
      </c>
      <c r="C25" s="378">
        <f>('Pivot Table for Data Exchange'!$J$477)*100</f>
        <v>1.5507772633815105</v>
      </c>
      <c r="D25" s="379">
        <f>SUM(E25:G25)</f>
        <v>16.979171016415151</v>
      </c>
      <c r="E25" s="378">
        <f>('Pivot Table for Data Exchange'!$J$480)*100</f>
        <v>16.307126488462554</v>
      </c>
      <c r="F25" s="378">
        <f>('Pivot Table for Data Exchange'!$J$483)*100</f>
        <v>0.42271464247494761</v>
      </c>
      <c r="G25" s="386">
        <f>('Pivot Table for Data Exchange'!$J$486)*100</f>
        <v>0.24932988547765114</v>
      </c>
      <c r="H25" s="378">
        <f>('Pivot Table for Data Exchange'!$J$489)*100</f>
        <v>0</v>
      </c>
      <c r="I25" s="384" t="s">
        <v>898</v>
      </c>
      <c r="J25" s="378">
        <f>('Pivot Table for Data Exchange'!$J$492)*100</f>
        <v>65.59047689494659</v>
      </c>
      <c r="K25" s="378">
        <f>('Pivot Table for Data Exchange'!$J$495)*100</f>
        <v>2.4710102704987138</v>
      </c>
      <c r="L25" s="379">
        <f>SUM(M25:O25)</f>
        <v>31.942708759143979</v>
      </c>
      <c r="M25" s="378">
        <f>('Pivot Table for Data Exchange'!$J$498)*100</f>
        <v>31.010867444686252</v>
      </c>
      <c r="N25" s="378">
        <f>('Pivot Table for Data Exchange'!$J$501)*100</f>
        <v>0.37343728844645679</v>
      </c>
      <c r="O25" s="386">
        <f>('Pivot Table for Data Exchange'!$J$504)*100</f>
        <v>0.55840402601127193</v>
      </c>
      <c r="P25" s="378">
        <f>('Pivot Table for Data Exchange'!$J$507)*100</f>
        <v>0</v>
      </c>
      <c r="Q25" s="383">
        <f t="shared" si="3"/>
        <v>100</v>
      </c>
      <c r="R25" s="383">
        <f t="shared" si="2"/>
        <v>100.00419592458928</v>
      </c>
      <c r="S25" s="384"/>
      <c r="T25" s="365"/>
      <c r="U25" s="365"/>
      <c r="V25" s="365"/>
      <c r="W25" s="365"/>
      <c r="X25" s="365"/>
      <c r="Y25" s="365"/>
      <c r="Z25" s="365"/>
      <c r="AA25" s="365"/>
      <c r="AB25" s="365"/>
      <c r="AC25" s="365"/>
      <c r="AD25" s="365"/>
      <c r="AE25" s="365"/>
      <c r="AF25" s="365"/>
      <c r="AG25" s="384"/>
      <c r="AH25" s="384"/>
      <c r="AI25" s="384"/>
      <c r="AJ25" s="384"/>
      <c r="AK25" s="384"/>
      <c r="AL25" s="384"/>
      <c r="AM25" s="384"/>
      <c r="AN25" s="384"/>
      <c r="AO25" s="384"/>
    </row>
    <row r="26" spans="1:41" ht="15.75" customHeight="1">
      <c r="A26" s="349" t="s">
        <v>899</v>
      </c>
      <c r="B26" s="378">
        <f>('Pivot Table for Data Exchange'!$J$510)*100</f>
        <v>90.717560690877036</v>
      </c>
      <c r="C26" s="378">
        <f>('Pivot Table for Data Exchange'!$J$513)*100</f>
        <v>1.5781268562112847</v>
      </c>
      <c r="D26" s="379">
        <f t="shared" si="0"/>
        <v>7.7043124529116964</v>
      </c>
      <c r="E26" s="378">
        <f>('Pivot Table for Data Exchange'!$J$516)*100</f>
        <v>7.0580127900189513</v>
      </c>
      <c r="F26" s="378">
        <f>('Pivot Table for Data Exchange'!$J$519)*100</f>
        <v>0.6406837800240166</v>
      </c>
      <c r="G26" s="386">
        <f>('Pivot Table for Data Exchange'!$J$522)*100</f>
        <v>5.6158828687287374E-3</v>
      </c>
      <c r="H26" s="378">
        <f>('Pivot Table for Data Exchange'!$J$525)*100</f>
        <v>0</v>
      </c>
      <c r="I26" s="384" t="s">
        <v>899</v>
      </c>
      <c r="J26" s="378">
        <f>('Pivot Table for Data Exchange'!$J$528)*100</f>
        <v>79.859763368501362</v>
      </c>
      <c r="K26" s="378">
        <f>('Pivot Table for Data Exchange'!$J$531)*100</f>
        <v>7.5523407831866169</v>
      </c>
      <c r="L26" s="379">
        <f t="shared" si="1"/>
        <v>12.587895848312007</v>
      </c>
      <c r="M26" s="378">
        <f>('Pivot Table for Data Exchange'!$J$534)*100</f>
        <v>9.3223911447950574</v>
      </c>
      <c r="N26" s="378">
        <f>('Pivot Table for Data Exchange'!$J$537)*100</f>
        <v>2.9816200737553649</v>
      </c>
      <c r="O26" s="386">
        <f>('Pivot Table for Data Exchange'!$J$540)*100</f>
        <v>0.28388462976158557</v>
      </c>
      <c r="P26" s="378">
        <f>('Pivot Table for Data Exchange'!$J$543)*100</f>
        <v>0</v>
      </c>
      <c r="Q26" s="383">
        <f t="shared" si="3"/>
        <v>100.00000000000001</v>
      </c>
      <c r="R26" s="383">
        <f t="shared" si="2"/>
        <v>99.999999999999986</v>
      </c>
      <c r="S26" s="384"/>
      <c r="T26" s="365"/>
      <c r="U26" s="365"/>
      <c r="V26" s="365"/>
      <c r="W26" s="365"/>
      <c r="X26" s="365"/>
      <c r="Y26" s="365"/>
      <c r="Z26" s="365"/>
      <c r="AA26" s="365"/>
      <c r="AB26" s="365"/>
      <c r="AC26" s="365"/>
      <c r="AD26" s="365"/>
      <c r="AE26" s="365"/>
      <c r="AF26" s="365"/>
      <c r="AG26" s="384"/>
      <c r="AH26" s="384"/>
      <c r="AI26" s="384"/>
      <c r="AJ26" s="384"/>
      <c r="AK26" s="384"/>
      <c r="AL26" s="384"/>
      <c r="AM26" s="384"/>
      <c r="AN26" s="384"/>
      <c r="AO26" s="384"/>
    </row>
    <row r="27" spans="1:41" ht="15.75" customHeight="1">
      <c r="A27" s="355" t="s">
        <v>900</v>
      </c>
      <c r="B27" s="391">
        <f>('Pivot Table for Data Exchange'!$J$546)*100</f>
        <v>82.493968422162027</v>
      </c>
      <c r="C27" s="391">
        <f>('Pivot Table for Data Exchange'!$J$549)*100</f>
        <v>3.7723353528793484</v>
      </c>
      <c r="D27" s="392">
        <f>SUM(E27:G27)</f>
        <v>13.733696224958626</v>
      </c>
      <c r="E27" s="391">
        <f>('Pivot Table for Data Exchange'!$J$552)*100</f>
        <v>12.989967784110815</v>
      </c>
      <c r="F27" s="391">
        <f>('Pivot Table for Data Exchange'!$J$555)*100</f>
        <v>0.47369605405205245</v>
      </c>
      <c r="G27" s="393">
        <f>('Pivot Table for Data Exchange'!$J$558)*100</f>
        <v>0.27003238679575808</v>
      </c>
      <c r="H27" s="391">
        <f>('Pivot Table for Data Exchange'!$J$561)*100</f>
        <v>0</v>
      </c>
      <c r="I27" s="394" t="s">
        <v>900</v>
      </c>
      <c r="J27" s="391">
        <f>('Pivot Table for Data Exchange'!$J$564)*100</f>
        <v>58.261802575107289</v>
      </c>
      <c r="K27" s="391">
        <f>('Pivot Table for Data Exchange'!$J$567)*100</f>
        <v>11.835300429184549</v>
      </c>
      <c r="L27" s="392">
        <f>SUM(M27:O27)</f>
        <v>29.902896995708151</v>
      </c>
      <c r="M27" s="391">
        <f>('Pivot Table for Data Exchange'!$J$570)*100</f>
        <v>29.119635193133046</v>
      </c>
      <c r="N27" s="391">
        <f>('Pivot Table for Data Exchange'!$J$573)*100</f>
        <v>0.45493562231759654</v>
      </c>
      <c r="O27" s="393">
        <f>('Pivot Table for Data Exchange'!$J$576)*100</f>
        <v>0.32832618025751076</v>
      </c>
      <c r="P27" s="391">
        <f>('Pivot Table for Data Exchange'!$J$579)*100</f>
        <v>0</v>
      </c>
      <c r="Q27" s="383">
        <f t="shared" si="3"/>
        <v>100</v>
      </c>
      <c r="R27" s="383">
        <f t="shared" si="2"/>
        <v>99.999999999999986</v>
      </c>
      <c r="S27" s="384"/>
      <c r="T27" s="365"/>
      <c r="U27" s="365"/>
      <c r="V27" s="365"/>
      <c r="W27" s="365"/>
      <c r="X27" s="365"/>
      <c r="Y27" s="365"/>
      <c r="Z27" s="365"/>
      <c r="AA27" s="365"/>
      <c r="AB27" s="365"/>
      <c r="AC27" s="365"/>
      <c r="AD27" s="365"/>
      <c r="AE27" s="365"/>
      <c r="AF27" s="365"/>
      <c r="AG27" s="384"/>
      <c r="AH27" s="384"/>
      <c r="AI27" s="384"/>
      <c r="AJ27" s="384"/>
      <c r="AK27" s="384"/>
      <c r="AL27" s="384"/>
      <c r="AM27" s="384"/>
      <c r="AN27" s="384"/>
      <c r="AO27" s="384"/>
    </row>
    <row r="28" spans="1:41" s="396" customFormat="1" ht="24" customHeight="1">
      <c r="A28" s="514" t="s">
        <v>919</v>
      </c>
      <c r="B28" s="515"/>
      <c r="C28" s="515"/>
      <c r="D28" s="515"/>
      <c r="E28" s="515"/>
      <c r="F28" s="515"/>
      <c r="G28" s="515"/>
      <c r="H28" s="515"/>
      <c r="I28" s="514" t="s">
        <v>919</v>
      </c>
      <c r="J28" s="515"/>
      <c r="K28" s="515"/>
      <c r="L28" s="515"/>
      <c r="M28" s="515"/>
      <c r="N28" s="515"/>
      <c r="O28" s="515"/>
      <c r="P28" s="515"/>
      <c r="Q28" s="383"/>
      <c r="R28" s="383"/>
    </row>
    <row r="29" spans="1:41" s="396" customFormat="1" ht="13.5" customHeight="1">
      <c r="A29" s="397" t="s">
        <v>920</v>
      </c>
      <c r="B29" s="398"/>
      <c r="C29" s="398"/>
      <c r="D29" s="399"/>
      <c r="E29" s="398"/>
      <c r="F29" s="399"/>
      <c r="G29" s="399"/>
      <c r="H29" s="398"/>
      <c r="I29" s="397" t="s">
        <v>920</v>
      </c>
      <c r="J29" s="398"/>
      <c r="K29" s="398"/>
      <c r="L29" s="399"/>
      <c r="M29" s="398"/>
      <c r="N29" s="399"/>
      <c r="O29" s="399"/>
      <c r="P29" s="398"/>
      <c r="Q29" s="383"/>
      <c r="R29" s="383"/>
      <c r="S29" s="400"/>
      <c r="T29" s="365"/>
      <c r="U29" s="365"/>
      <c r="V29" s="365"/>
      <c r="W29" s="365"/>
      <c r="X29" s="365"/>
      <c r="Y29" s="365"/>
      <c r="Z29" s="365"/>
      <c r="AA29" s="365"/>
      <c r="AB29" s="365"/>
      <c r="AC29" s="365"/>
      <c r="AD29" s="365"/>
      <c r="AE29" s="365"/>
      <c r="AF29" s="365"/>
      <c r="AG29" s="400"/>
      <c r="AH29" s="400"/>
      <c r="AI29" s="400"/>
      <c r="AJ29" s="400"/>
      <c r="AK29" s="400"/>
      <c r="AL29" s="400"/>
      <c r="AM29" s="400"/>
      <c r="AN29" s="400"/>
      <c r="AO29" s="400"/>
    </row>
    <row r="30" spans="1:41" s="396" customFormat="1" ht="23.25" customHeight="1">
      <c r="A30" s="501" t="s">
        <v>921</v>
      </c>
      <c r="B30" s="518"/>
      <c r="C30" s="518"/>
      <c r="D30" s="518"/>
      <c r="E30" s="518"/>
      <c r="F30" s="518"/>
      <c r="G30" s="518"/>
      <c r="H30" s="518"/>
      <c r="I30" s="501" t="s">
        <v>921</v>
      </c>
      <c r="J30" s="518"/>
      <c r="K30" s="518"/>
      <c r="L30" s="518"/>
      <c r="M30" s="518"/>
      <c r="N30" s="518"/>
      <c r="O30" s="518"/>
      <c r="P30" s="518"/>
      <c r="Q30" s="383"/>
      <c r="R30" s="383"/>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row>
    <row r="31" spans="1:41" s="396" customFormat="1" ht="13.5" customHeight="1">
      <c r="A31" s="395"/>
      <c r="B31" s="225"/>
      <c r="C31" s="225"/>
      <c r="D31" s="277"/>
      <c r="E31" s="225"/>
      <c r="F31" s="225"/>
      <c r="G31" s="225"/>
      <c r="H31" s="225"/>
      <c r="I31" s="395"/>
      <c r="J31" s="225"/>
      <c r="K31" s="225"/>
      <c r="L31" s="277"/>
      <c r="M31" s="225"/>
      <c r="N31" s="225"/>
      <c r="O31" s="225"/>
      <c r="P31" s="225"/>
      <c r="Q31" s="383"/>
      <c r="R31" s="383"/>
    </row>
    <row r="32" spans="1:41">
      <c r="H32" s="402" t="s">
        <v>1007</v>
      </c>
      <c r="I32" s="349"/>
      <c r="P32" s="402" t="s">
        <v>1007</v>
      </c>
      <c r="Q32" s="383"/>
      <c r="R32" s="383"/>
    </row>
    <row r="33" spans="1:41" ht="18">
      <c r="A33" s="344" t="s">
        <v>922</v>
      </c>
      <c r="B33" s="345"/>
      <c r="C33" s="345"/>
      <c r="D33" s="345"/>
      <c r="E33" s="345"/>
      <c r="F33" s="345"/>
      <c r="G33" s="345"/>
      <c r="H33" s="345"/>
      <c r="I33" s="344" t="s">
        <v>923</v>
      </c>
      <c r="J33" s="346"/>
      <c r="K33" s="346"/>
      <c r="L33" s="345"/>
      <c r="M33" s="346"/>
      <c r="N33" s="346"/>
      <c r="O33" s="346"/>
      <c r="P33" s="346"/>
      <c r="Q33" s="383"/>
      <c r="R33" s="383"/>
    </row>
    <row r="34" spans="1:41">
      <c r="A34" s="350"/>
      <c r="B34" s="346"/>
      <c r="C34" s="346"/>
      <c r="D34" s="346"/>
      <c r="E34" s="346"/>
      <c r="F34" s="346"/>
      <c r="G34" s="346"/>
      <c r="H34" s="346"/>
      <c r="I34" s="350"/>
      <c r="J34" s="346"/>
      <c r="K34" s="346"/>
      <c r="L34" s="346"/>
      <c r="M34" s="346"/>
      <c r="N34" s="346"/>
      <c r="O34" s="346"/>
      <c r="P34" s="346"/>
      <c r="Q34" s="383"/>
      <c r="R34" s="383"/>
    </row>
    <row r="35" spans="1:41" ht="15.75">
      <c r="A35" s="352" t="s">
        <v>906</v>
      </c>
      <c r="B35" s="346"/>
      <c r="C35" s="346"/>
      <c r="D35" s="346"/>
      <c r="E35" s="346"/>
      <c r="F35" s="346"/>
      <c r="G35" s="346"/>
      <c r="H35" s="346"/>
      <c r="I35" s="352" t="s">
        <v>907</v>
      </c>
      <c r="J35" s="346"/>
      <c r="K35" s="346"/>
      <c r="L35" s="346"/>
      <c r="M35" s="346"/>
      <c r="N35" s="346"/>
      <c r="O35" s="346"/>
      <c r="P35" s="346"/>
      <c r="Q35" s="383"/>
      <c r="R35" s="383"/>
    </row>
    <row r="36" spans="1:41" ht="15.75">
      <c r="A36" s="352" t="s">
        <v>951</v>
      </c>
      <c r="B36" s="346"/>
      <c r="C36" s="346"/>
      <c r="D36" s="346"/>
      <c r="E36" s="346"/>
      <c r="F36" s="346"/>
      <c r="G36" s="346"/>
      <c r="H36" s="346"/>
      <c r="I36" s="352" t="s">
        <v>951</v>
      </c>
      <c r="J36" s="346"/>
      <c r="K36" s="346"/>
      <c r="L36" s="346"/>
      <c r="M36" s="346"/>
      <c r="N36" s="346"/>
      <c r="O36" s="346"/>
      <c r="P36" s="346"/>
      <c r="Q36" s="383"/>
      <c r="R36" s="383"/>
    </row>
    <row r="37" spans="1:41">
      <c r="A37" s="355"/>
      <c r="B37" s="356"/>
      <c r="C37" s="356"/>
      <c r="D37" s="356"/>
      <c r="E37" s="356"/>
      <c r="F37" s="356"/>
      <c r="G37" s="356"/>
      <c r="H37" s="356"/>
      <c r="I37" s="357"/>
      <c r="L37" s="358"/>
      <c r="P37" s="355"/>
      <c r="Q37" s="383"/>
      <c r="R37" s="383"/>
    </row>
    <row r="38" spans="1:41" s="365" customFormat="1">
      <c r="A38" s="360"/>
      <c r="B38" s="361" t="s">
        <v>908</v>
      </c>
      <c r="C38" s="361"/>
      <c r="D38" s="361"/>
      <c r="E38" s="361"/>
      <c r="F38" s="361"/>
      <c r="G38" s="361"/>
      <c r="H38" s="362"/>
      <c r="I38" s="360"/>
      <c r="J38" s="361" t="s">
        <v>908</v>
      </c>
      <c r="K38" s="361"/>
      <c r="L38" s="361"/>
      <c r="M38" s="361"/>
      <c r="N38" s="361"/>
      <c r="O38" s="361"/>
      <c r="P38" s="362"/>
      <c r="Q38" s="383"/>
      <c r="R38" s="383"/>
    </row>
    <row r="39" spans="1:41" s="365" customFormat="1">
      <c r="A39" s="360"/>
      <c r="B39" s="361" t="s">
        <v>909</v>
      </c>
      <c r="C39" s="361"/>
      <c r="D39" s="506" t="s">
        <v>910</v>
      </c>
      <c r="E39" s="504"/>
      <c r="F39" s="504"/>
      <c r="G39" s="504"/>
      <c r="H39" s="368" t="s">
        <v>800</v>
      </c>
      <c r="I39" s="360"/>
      <c r="J39" s="361" t="s">
        <v>909</v>
      </c>
      <c r="K39" s="361"/>
      <c r="L39" s="506" t="s">
        <v>910</v>
      </c>
      <c r="M39" s="504"/>
      <c r="N39" s="504"/>
      <c r="O39" s="504"/>
      <c r="P39" s="368" t="s">
        <v>800</v>
      </c>
      <c r="Q39" s="383"/>
      <c r="R39" s="383"/>
    </row>
    <row r="40" spans="1:41" s="365" customFormat="1" ht="40.5" customHeight="1">
      <c r="A40" s="360"/>
      <c r="B40" s="369" t="s">
        <v>911</v>
      </c>
      <c r="C40" s="370" t="s">
        <v>912</v>
      </c>
      <c r="D40" s="371" t="s">
        <v>913</v>
      </c>
      <c r="E40" s="372" t="s">
        <v>10</v>
      </c>
      <c r="F40" s="369" t="s">
        <v>914</v>
      </c>
      <c r="G40" s="373" t="s">
        <v>924</v>
      </c>
      <c r="H40" s="374" t="s">
        <v>916</v>
      </c>
      <c r="I40" s="360"/>
      <c r="J40" s="369" t="s">
        <v>911</v>
      </c>
      <c r="K40" s="370" t="s">
        <v>912</v>
      </c>
      <c r="L40" s="371" t="s">
        <v>913</v>
      </c>
      <c r="M40" s="372" t="s">
        <v>10</v>
      </c>
      <c r="N40" s="369" t="s">
        <v>914</v>
      </c>
      <c r="O40" s="373" t="s">
        <v>924</v>
      </c>
      <c r="P40" s="374" t="s">
        <v>916</v>
      </c>
      <c r="Q40" s="383"/>
      <c r="R40" s="383"/>
      <c r="T40" s="403"/>
    </row>
    <row r="41" spans="1:41" ht="15.75" customHeight="1">
      <c r="A41" s="404" t="s">
        <v>885</v>
      </c>
      <c r="B41" s="378">
        <f>('Pivot Table for Data Exchange'!$C$6)*100</f>
        <v>92.332096709016724</v>
      </c>
      <c r="C41" s="390">
        <f>('Pivot Table for Data Exchange'!$C$9)*100</f>
        <v>3.0547374366718345E-2</v>
      </c>
      <c r="D41" s="379">
        <f>SUM(E41:G41)</f>
        <v>7.6373559166165546</v>
      </c>
      <c r="E41" s="378">
        <f>('Pivot Table for Data Exchange'!$C$12)*100</f>
        <v>7.5462901590704883</v>
      </c>
      <c r="F41" s="390">
        <f>('Pivot Table for Data Exchange'!$C$15)*100</f>
        <v>9.1065757546066023E-2</v>
      </c>
      <c r="G41" s="382">
        <f>('Pivot Table for Data Exchange'!$C$18)*100</f>
        <v>0</v>
      </c>
      <c r="H41" s="378">
        <f>('Pivot Table for Data Exchange'!$C$21)*100</f>
        <v>0</v>
      </c>
      <c r="I41" s="381" t="s">
        <v>885</v>
      </c>
      <c r="J41" s="378">
        <f>('Pivot Table for Data Exchange'!$C$24)*100</f>
        <v>77.945815364957667</v>
      </c>
      <c r="K41" s="378">
        <f>('Pivot Table for Data Exchange'!$C$27)*100</f>
        <v>2.6333652771122824</v>
      </c>
      <c r="L41" s="379">
        <f>SUM(M41:O41)</f>
        <v>19.420819357930039</v>
      </c>
      <c r="M41" s="378">
        <f>('Pivot Table for Data Exchange'!$C$30)*100</f>
        <v>19.318998562529945</v>
      </c>
      <c r="N41" s="378">
        <f>('Pivot Table for Data Exchange'!$C$33)*100</f>
        <v>0.10182079540009582</v>
      </c>
      <c r="O41" s="382">
        <f>('Pivot Table for Data Exchange'!$C$36)*100</f>
        <v>0</v>
      </c>
      <c r="P41" s="378">
        <f>('Pivot Table for Data Exchange'!$C$39)*100</f>
        <v>0</v>
      </c>
      <c r="Q41" s="383">
        <f t="shared" si="3"/>
        <v>100</v>
      </c>
      <c r="R41" s="383">
        <f t="shared" si="2"/>
        <v>99.999999999999986</v>
      </c>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row>
    <row r="42" spans="1:41" ht="15.75" customHeight="1">
      <c r="A42" s="349" t="s">
        <v>886</v>
      </c>
      <c r="B42" s="378">
        <f>('Pivot Table for Data Exchange'!$C$42)*100</f>
        <v>89.781629854148534</v>
      </c>
      <c r="C42" s="378">
        <f>('Pivot Table for Data Exchange'!$C$45)*100</f>
        <v>1.4344044137447318</v>
      </c>
      <c r="D42" s="379">
        <f t="shared" ref="D42:D44" si="4">SUM(E42:G42)</f>
        <v>8.2701352053756505</v>
      </c>
      <c r="E42" s="378">
        <f>('Pivot Table for Data Exchange'!$C$48)*100</f>
        <v>8.1985872008917671</v>
      </c>
      <c r="F42" s="378">
        <f>('Pivot Table for Data Exchange'!$C$51)*100</f>
        <v>7.1548004483883695E-2</v>
      </c>
      <c r="G42" s="389">
        <f>('Pivot Table for Data Exchange'!$C$54)*100</f>
        <v>0</v>
      </c>
      <c r="H42" s="378">
        <f>('Pivot Table for Data Exchange'!$C$57)*100</f>
        <v>0.51383052673108598</v>
      </c>
      <c r="I42" s="384" t="s">
        <v>886</v>
      </c>
      <c r="J42" s="378">
        <f>('Pivot Table for Data Exchange'!$C$60)*100</f>
        <v>69.27482326280267</v>
      </c>
      <c r="K42" s="378">
        <f>('Pivot Table for Data Exchange'!$C$63)*100</f>
        <v>1.5740079316205631</v>
      </c>
      <c r="L42" s="379">
        <f t="shared" ref="L42:L44" si="5">SUM(M42:O42)</f>
        <v>29.151168805576766</v>
      </c>
      <c r="M42" s="378">
        <f>('Pivot Table for Data Exchange'!$C$66)*100</f>
        <v>29.127768061679433</v>
      </c>
      <c r="N42" s="378">
        <f>('Pivot Table for Data Exchange'!$C$69)*100</f>
        <v>0</v>
      </c>
      <c r="O42" s="386">
        <f>('Pivot Table for Data Exchange'!$C$72)*100</f>
        <v>2.3400743897332314E-2</v>
      </c>
      <c r="P42" s="390">
        <f>('Pivot Table for Data Exchange'!$C$75)*100</f>
        <v>0</v>
      </c>
      <c r="Q42" s="383">
        <f t="shared" si="3"/>
        <v>100</v>
      </c>
      <c r="R42" s="383">
        <f t="shared" si="2"/>
        <v>100</v>
      </c>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row>
    <row r="43" spans="1:41" ht="15.75" customHeight="1">
      <c r="A43" s="349" t="s">
        <v>887</v>
      </c>
      <c r="B43" s="378">
        <f>('Pivot Table for Data Exchange'!$C$78)*100</f>
        <v>96.59201035566447</v>
      </c>
      <c r="C43" s="378">
        <f>('Pivot Table for Data Exchange'!$C$81)*100</f>
        <v>0</v>
      </c>
      <c r="D43" s="379">
        <f t="shared" si="4"/>
        <v>3.4079896443355344</v>
      </c>
      <c r="E43" s="378">
        <f>('Pivot Table for Data Exchange'!$C$84)*100</f>
        <v>3.4079896443355344</v>
      </c>
      <c r="F43" s="378">
        <f>('Pivot Table for Data Exchange'!$C$87)*100</f>
        <v>0</v>
      </c>
      <c r="G43" s="386">
        <f>('Pivot Table for Data Exchange'!$C$90)*100</f>
        <v>0</v>
      </c>
      <c r="H43" s="378">
        <f>('Pivot Table for Data Exchange'!$C$93)*100</f>
        <v>0</v>
      </c>
      <c r="I43" s="384" t="s">
        <v>887</v>
      </c>
      <c r="J43" s="378">
        <f>('Pivot Table for Data Exchange'!$C$96)*100</f>
        <v>90.239859089260733</v>
      </c>
      <c r="K43" s="378">
        <f>('Pivot Table for Data Exchange'!$C$99)*100</f>
        <v>0</v>
      </c>
      <c r="L43" s="379">
        <f t="shared" si="5"/>
        <v>9.7601409107392634</v>
      </c>
      <c r="M43" s="378">
        <f>('Pivot Table for Data Exchange'!$C$102)*100</f>
        <v>9.7601409107392634</v>
      </c>
      <c r="N43" s="378">
        <f>('Pivot Table for Data Exchange'!$C$105)*100</f>
        <v>0</v>
      </c>
      <c r="O43" s="386">
        <f>('Pivot Table for Data Exchange'!$C$108)*100</f>
        <v>0</v>
      </c>
      <c r="P43" s="378">
        <f>('Pivot Table for Data Exchange'!$C$111)*100</f>
        <v>0</v>
      </c>
      <c r="Q43" s="383">
        <f t="shared" si="3"/>
        <v>100</v>
      </c>
      <c r="R43" s="383">
        <f t="shared" si="2"/>
        <v>100</v>
      </c>
      <c r="S43" s="384"/>
      <c r="T43" s="358"/>
      <c r="U43" s="384"/>
      <c r="V43" s="384"/>
      <c r="W43" s="384"/>
      <c r="X43" s="384"/>
      <c r="Y43" s="384"/>
      <c r="Z43" s="384"/>
      <c r="AA43" s="384"/>
      <c r="AB43" s="384"/>
      <c r="AC43" s="384"/>
      <c r="AD43" s="384"/>
      <c r="AE43" s="384"/>
      <c r="AF43" s="384"/>
      <c r="AG43" s="384"/>
      <c r="AH43" s="384"/>
      <c r="AI43" s="384"/>
      <c r="AJ43" s="384"/>
      <c r="AK43" s="384"/>
      <c r="AL43" s="384"/>
      <c r="AM43" s="384"/>
      <c r="AN43" s="384"/>
      <c r="AO43" s="384"/>
    </row>
    <row r="44" spans="1:41" ht="15.75" customHeight="1">
      <c r="A44" s="349" t="s">
        <v>925</v>
      </c>
      <c r="B44" s="378">
        <f>('Pivot Table for Data Exchange'!$C$114)*100</f>
        <v>0</v>
      </c>
      <c r="C44" s="378">
        <f>('Pivot Table for Data Exchange'!$C$117)*100</f>
        <v>0</v>
      </c>
      <c r="D44" s="379">
        <f t="shared" si="4"/>
        <v>0</v>
      </c>
      <c r="E44" s="378">
        <f>('Pivot Table for Data Exchange'!$C$120)*100</f>
        <v>0</v>
      </c>
      <c r="F44" s="378">
        <f>('Pivot Table for Data Exchange'!$C$123)*100</f>
        <v>0</v>
      </c>
      <c r="G44" s="389">
        <f>('Pivot Table for Data Exchange'!$C$126)*100</f>
        <v>0</v>
      </c>
      <c r="H44" s="378">
        <f>('Pivot Table for Data Exchange'!$C$129)*100</f>
        <v>0</v>
      </c>
      <c r="I44" s="384" t="s">
        <v>925</v>
      </c>
      <c r="J44" s="378">
        <f>('Pivot Table for Data Exchange'!$C$132)*100</f>
        <v>0</v>
      </c>
      <c r="K44" s="378">
        <f>('Pivot Table for Data Exchange'!$C$135)*100</f>
        <v>0</v>
      </c>
      <c r="L44" s="379">
        <f t="shared" si="5"/>
        <v>0</v>
      </c>
      <c r="M44" s="378">
        <f>('Pivot Table for Data Exchange'!$C$138)*100</f>
        <v>0</v>
      </c>
      <c r="N44" s="378">
        <f>('Pivot Table for Data Exchange'!$C$141)*100</f>
        <v>0</v>
      </c>
      <c r="O44" s="385">
        <f>('Pivot Table for Data Exchange'!$C$144)*100</f>
        <v>0</v>
      </c>
      <c r="P44" s="378">
        <f>('Pivot Table for Data Exchange'!$C$147)*100</f>
        <v>0</v>
      </c>
      <c r="Q44" s="383">
        <f t="shared" si="3"/>
        <v>0</v>
      </c>
      <c r="R44" s="383">
        <f t="shared" si="2"/>
        <v>0</v>
      </c>
      <c r="S44" s="384"/>
      <c r="U44" s="384"/>
      <c r="V44" s="384"/>
      <c r="W44" s="384"/>
      <c r="X44" s="384"/>
      <c r="Y44" s="384"/>
      <c r="Z44" s="384"/>
      <c r="AA44" s="384"/>
      <c r="AB44" s="384"/>
      <c r="AC44" s="384"/>
      <c r="AD44" s="384"/>
      <c r="AE44" s="384"/>
      <c r="AF44" s="384"/>
      <c r="AG44" s="384"/>
      <c r="AH44" s="384"/>
      <c r="AI44" s="384"/>
      <c r="AJ44" s="384"/>
      <c r="AK44" s="384"/>
      <c r="AL44" s="384"/>
      <c r="AM44" s="384"/>
      <c r="AN44" s="384"/>
      <c r="AO44" s="384"/>
    </row>
    <row r="45" spans="1:41" ht="10.5" customHeight="1">
      <c r="B45" s="378"/>
      <c r="C45" s="378"/>
      <c r="D45" s="379"/>
      <c r="E45" s="378"/>
      <c r="F45" s="378"/>
      <c r="G45" s="386"/>
      <c r="H45" s="378"/>
      <c r="I45" s="384"/>
      <c r="J45" s="378"/>
      <c r="K45" s="378"/>
      <c r="L45" s="379"/>
      <c r="M45" s="378"/>
      <c r="N45" s="378"/>
      <c r="O45" s="386"/>
      <c r="P45" s="378"/>
      <c r="Q45" s="383">
        <f t="shared" si="3"/>
        <v>0</v>
      </c>
      <c r="R45" s="383">
        <f t="shared" si="2"/>
        <v>0</v>
      </c>
      <c r="S45" s="384"/>
      <c r="U45" s="384"/>
      <c r="V45" s="384"/>
      <c r="W45" s="384"/>
      <c r="X45" s="384"/>
      <c r="Y45" s="384"/>
      <c r="Z45" s="384"/>
      <c r="AA45" s="384"/>
      <c r="AB45" s="384"/>
      <c r="AC45" s="384"/>
      <c r="AD45" s="384"/>
      <c r="AE45" s="384"/>
      <c r="AF45" s="384"/>
      <c r="AG45" s="384"/>
      <c r="AH45" s="384"/>
      <c r="AI45" s="384"/>
      <c r="AJ45" s="384"/>
      <c r="AK45" s="384"/>
      <c r="AL45" s="384"/>
      <c r="AM45" s="384"/>
      <c r="AN45" s="384"/>
      <c r="AO45" s="384"/>
    </row>
    <row r="46" spans="1:41" ht="15.75" customHeight="1">
      <c r="A46" s="349" t="s">
        <v>889</v>
      </c>
      <c r="B46" s="378">
        <f>('Pivot Table for Data Exchange'!$C$150)*100</f>
        <v>87.082602922010921</v>
      </c>
      <c r="C46" s="378">
        <f>('Pivot Table for Data Exchange'!$C$153)*100</f>
        <v>1.6707722282660258</v>
      </c>
      <c r="D46" s="379">
        <f t="shared" ref="D46:D49" si="6">SUM(E46:G46)</f>
        <v>11.246624849723052</v>
      </c>
      <c r="E46" s="378">
        <f>('Pivot Table for Data Exchange'!$C$156)*100</f>
        <v>11.246624849723052</v>
      </c>
      <c r="F46" s="378">
        <f>('Pivot Table for Data Exchange'!$C$159)*100</f>
        <v>0</v>
      </c>
      <c r="G46" s="386">
        <f>('Pivot Table for Data Exchange'!$C$162)*100</f>
        <v>0</v>
      </c>
      <c r="H46" s="378">
        <f>('Pivot Table for Data Exchange'!$C$165)*100</f>
        <v>0</v>
      </c>
      <c r="I46" s="384" t="s">
        <v>889</v>
      </c>
      <c r="J46" s="378">
        <f>('Pivot Table for Data Exchange'!$C$168)*100</f>
        <v>73.384552731496171</v>
      </c>
      <c r="K46" s="378">
        <f>('Pivot Table for Data Exchange'!$C$171)*100</f>
        <v>22.189371923616701</v>
      </c>
      <c r="L46" s="379">
        <f t="shared" ref="L46:L49" si="7">SUM(M46:O46)</f>
        <v>4.4260753448871242</v>
      </c>
      <c r="M46" s="378">
        <f>('Pivot Table for Data Exchange'!$C$174)*100</f>
        <v>4.4260753448871242</v>
      </c>
      <c r="N46" s="378">
        <f>('Pivot Table for Data Exchange'!$C$177)*100</f>
        <v>0</v>
      </c>
      <c r="O46" s="386">
        <f>('Pivot Table for Data Exchange'!$C$180)*100</f>
        <v>0</v>
      </c>
      <c r="P46" s="378">
        <f>('Pivot Table for Data Exchange'!$C$183)*100</f>
        <v>0</v>
      </c>
      <c r="Q46" s="383">
        <f t="shared" si="3"/>
        <v>100</v>
      </c>
      <c r="R46" s="383">
        <f t="shared" si="2"/>
        <v>100</v>
      </c>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row>
    <row r="47" spans="1:41" ht="15.75" customHeight="1">
      <c r="A47" s="349" t="s">
        <v>890</v>
      </c>
      <c r="B47" s="378">
        <f>('Pivot Table for Data Exchange'!$C$186)*100</f>
        <v>89.75069226820527</v>
      </c>
      <c r="C47" s="378">
        <f>('Pivot Table for Data Exchange'!$C$189)*100</f>
        <v>2.069647150645038</v>
      </c>
      <c r="D47" s="379">
        <f t="shared" si="6"/>
        <v>8.1796605811496992</v>
      </c>
      <c r="E47" s="378">
        <f>('Pivot Table for Data Exchange'!$C$192)*100</f>
        <v>8.0417995964466158</v>
      </c>
      <c r="F47" s="378">
        <f>('Pivot Table for Data Exchange'!$C$195)*100</f>
        <v>8.6254293339363242E-2</v>
      </c>
      <c r="G47" s="388">
        <f>('Pivot Table for Data Exchange'!$C$198)*100</f>
        <v>5.1606691363720501E-2</v>
      </c>
      <c r="H47" s="378">
        <f>('Pivot Table for Data Exchange'!$C$201)*100</f>
        <v>0</v>
      </c>
      <c r="I47" s="384" t="s">
        <v>890</v>
      </c>
      <c r="J47" s="378">
        <f>('Pivot Table for Data Exchange'!$C$204)*100</f>
        <v>74.291933499479484</v>
      </c>
      <c r="K47" s="378">
        <f>('Pivot Table for Data Exchange'!$C$207)*100</f>
        <v>7.687939682639831</v>
      </c>
      <c r="L47" s="379">
        <f t="shared" si="7"/>
        <v>18.020126817880694</v>
      </c>
      <c r="M47" s="378">
        <f>('Pivot Table for Data Exchange'!$C$210)*100</f>
        <v>17.645351588378183</v>
      </c>
      <c r="N47" s="378">
        <f>('Pivot Table for Data Exchange'!$C$213)*100</f>
        <v>0.28770623678980412</v>
      </c>
      <c r="O47" s="389">
        <f>('Pivot Table for Data Exchange'!$C$216)*100</f>
        <v>8.7068992712703866E-2</v>
      </c>
      <c r="P47" s="378">
        <f>('Pivot Table for Data Exchange'!$C$219)*100</f>
        <v>0</v>
      </c>
      <c r="Q47" s="383">
        <f t="shared" si="3"/>
        <v>100.00000000000001</v>
      </c>
      <c r="R47" s="383">
        <f t="shared" si="2"/>
        <v>100.00000000000001</v>
      </c>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row>
    <row r="48" spans="1:41" ht="15.75" customHeight="1">
      <c r="A48" s="349" t="s">
        <v>891</v>
      </c>
      <c r="B48" s="378">
        <f>('Pivot Table for Data Exchange'!$C$222)*100</f>
        <v>97.687609075043625</v>
      </c>
      <c r="C48" s="378">
        <f>('Pivot Table for Data Exchange'!$C$225)*100</f>
        <v>0</v>
      </c>
      <c r="D48" s="379">
        <f t="shared" si="6"/>
        <v>2.3123909249563783</v>
      </c>
      <c r="E48" s="378">
        <f>('Pivot Table for Data Exchange'!$C$228)*100</f>
        <v>2.3123909249563783</v>
      </c>
      <c r="F48" s="378">
        <f>('Pivot Table for Data Exchange'!$C$231)*100</f>
        <v>0</v>
      </c>
      <c r="G48" s="386">
        <f>('Pivot Table for Data Exchange'!$C$234)*100</f>
        <v>0</v>
      </c>
      <c r="H48" s="378">
        <f>('Pivot Table for Data Exchange'!$C$237)*100</f>
        <v>0</v>
      </c>
      <c r="I48" s="384" t="s">
        <v>891</v>
      </c>
      <c r="J48" s="378">
        <f>('Pivot Table for Data Exchange'!$C$240)*100</f>
        <v>95.69128787878789</v>
      </c>
      <c r="K48" s="378">
        <f>('Pivot Table for Data Exchange'!$C$243)*100</f>
        <v>0</v>
      </c>
      <c r="L48" s="379">
        <f t="shared" si="7"/>
        <v>4.3087121212121087</v>
      </c>
      <c r="M48" s="378">
        <f>('Pivot Table for Data Exchange'!$C$246)*100</f>
        <v>4.3087121212121087</v>
      </c>
      <c r="N48" s="378">
        <f>('Pivot Table for Data Exchange'!$C$249)*100</f>
        <v>0</v>
      </c>
      <c r="O48" s="386">
        <f>('Pivot Table for Data Exchange'!$C$252)*100</f>
        <v>0</v>
      </c>
      <c r="P48" s="378">
        <f>('Pivot Table for Data Exchange'!$C$255)*100</f>
        <v>0</v>
      </c>
      <c r="Q48" s="383">
        <f t="shared" si="3"/>
        <v>100</v>
      </c>
      <c r="R48" s="383">
        <f t="shared" si="2"/>
        <v>100</v>
      </c>
      <c r="S48" s="384"/>
      <c r="T48" s="358"/>
      <c r="U48" s="384"/>
      <c r="V48" s="384"/>
      <c r="W48" s="384"/>
      <c r="X48" s="384"/>
      <c r="Y48" s="384"/>
      <c r="Z48" s="384"/>
      <c r="AA48" s="384"/>
      <c r="AB48" s="384"/>
      <c r="AC48" s="384"/>
      <c r="AD48" s="384"/>
      <c r="AE48" s="384"/>
      <c r="AF48" s="384"/>
      <c r="AG48" s="384"/>
      <c r="AH48" s="384"/>
      <c r="AI48" s="384"/>
      <c r="AJ48" s="384"/>
      <c r="AK48" s="384"/>
      <c r="AL48" s="384"/>
      <c r="AM48" s="384"/>
      <c r="AN48" s="384"/>
      <c r="AO48" s="384"/>
    </row>
    <row r="49" spans="1:41" ht="15.75" customHeight="1">
      <c r="A49" s="349" t="s">
        <v>892</v>
      </c>
      <c r="B49" s="378">
        <f>('Pivot Table for Data Exchange'!$C$258)*100</f>
        <v>93.66837814367976</v>
      </c>
      <c r="C49" s="378">
        <f>('Pivot Table for Data Exchange'!$C$261)*100</f>
        <v>2.4069075742192063</v>
      </c>
      <c r="D49" s="379">
        <f t="shared" si="6"/>
        <v>3.9247142821010339</v>
      </c>
      <c r="E49" s="378">
        <f>('Pivot Table for Data Exchange'!$C$264)*100</f>
        <v>3.8414890452222572</v>
      </c>
      <c r="F49" s="378">
        <f>('Pivot Table for Data Exchange'!$C$267)*100</f>
        <v>8.3225236878776601E-2</v>
      </c>
      <c r="G49" s="386">
        <f>('Pivot Table for Data Exchange'!$C$270)*100</f>
        <v>0</v>
      </c>
      <c r="H49" s="378">
        <f>('Pivot Table for Data Exchange'!$C$273)*100</f>
        <v>0</v>
      </c>
      <c r="I49" s="384" t="s">
        <v>892</v>
      </c>
      <c r="J49" s="378">
        <f>('Pivot Table for Data Exchange'!$C$276)*100</f>
        <v>76.779832060778006</v>
      </c>
      <c r="K49" s="378">
        <f>('Pivot Table for Data Exchange'!$C$279)*100</f>
        <v>15.676866150028243</v>
      </c>
      <c r="L49" s="379">
        <f t="shared" si="7"/>
        <v>7.5433017891937526</v>
      </c>
      <c r="M49" s="378">
        <f>('Pivot Table for Data Exchange'!$C$282)*100</f>
        <v>7.1681994452801217</v>
      </c>
      <c r="N49" s="378">
        <f>('Pivot Table for Data Exchange'!$C$285)*100</f>
        <v>0.37510234391363123</v>
      </c>
      <c r="O49" s="386">
        <f>('Pivot Table for Data Exchange'!$C$288)*100</f>
        <v>0</v>
      </c>
      <c r="P49" s="378">
        <f>('Pivot Table for Data Exchange'!$C$291)*100</f>
        <v>0</v>
      </c>
      <c r="Q49" s="383">
        <f t="shared" si="3"/>
        <v>100</v>
      </c>
      <c r="R49" s="383">
        <f t="shared" si="2"/>
        <v>100</v>
      </c>
      <c r="S49" s="384"/>
      <c r="U49" s="384"/>
      <c r="V49" s="384"/>
      <c r="W49" s="384"/>
      <c r="X49" s="384"/>
      <c r="Y49" s="384"/>
      <c r="Z49" s="384"/>
      <c r="AA49" s="384"/>
      <c r="AB49" s="384"/>
      <c r="AC49" s="384"/>
      <c r="AD49" s="384"/>
      <c r="AE49" s="384"/>
      <c r="AF49" s="384"/>
      <c r="AG49" s="384"/>
      <c r="AH49" s="384"/>
      <c r="AI49" s="384"/>
      <c r="AJ49" s="384"/>
      <c r="AK49" s="384"/>
      <c r="AL49" s="384"/>
      <c r="AM49" s="384"/>
      <c r="AN49" s="384"/>
      <c r="AO49" s="384"/>
    </row>
    <row r="50" spans="1:41" ht="12" customHeight="1">
      <c r="B50" s="378"/>
      <c r="C50" s="378"/>
      <c r="D50" s="379"/>
      <c r="E50" s="378"/>
      <c r="F50" s="378"/>
      <c r="G50" s="386"/>
      <c r="H50" s="378"/>
      <c r="I50" s="384"/>
      <c r="J50" s="378"/>
      <c r="K50" s="378"/>
      <c r="L50" s="379"/>
      <c r="M50" s="378"/>
      <c r="N50" s="378"/>
      <c r="O50" s="386"/>
      <c r="P50" s="378"/>
      <c r="Q50" s="383">
        <f t="shared" si="3"/>
        <v>0</v>
      </c>
      <c r="R50" s="383">
        <f t="shared" si="2"/>
        <v>0</v>
      </c>
      <c r="S50" s="384"/>
      <c r="U50" s="384"/>
      <c r="V50" s="384"/>
      <c r="W50" s="384"/>
      <c r="X50" s="384"/>
      <c r="Y50" s="384"/>
      <c r="Z50" s="384"/>
      <c r="AA50" s="384"/>
      <c r="AB50" s="384"/>
      <c r="AC50" s="384"/>
      <c r="AD50" s="384"/>
      <c r="AE50" s="384"/>
      <c r="AF50" s="384"/>
      <c r="AG50" s="384"/>
      <c r="AH50" s="384"/>
      <c r="AI50" s="384"/>
      <c r="AJ50" s="384"/>
      <c r="AK50" s="384"/>
      <c r="AL50" s="384"/>
      <c r="AM50" s="384"/>
      <c r="AN50" s="384"/>
      <c r="AO50" s="384"/>
    </row>
    <row r="51" spans="1:41" ht="15.75" customHeight="1">
      <c r="A51" s="349" t="s">
        <v>893</v>
      </c>
      <c r="B51" s="378">
        <f>('Pivot Table for Data Exchange'!$C$294)*100</f>
        <v>82.109486469677194</v>
      </c>
      <c r="C51" s="378">
        <f>('Pivot Table for Data Exchange'!$C$297)*100</f>
        <v>5.3455445665296768</v>
      </c>
      <c r="D51" s="379">
        <f t="shared" ref="D51:D53" si="8">SUM(E51:G51)</f>
        <v>12.544968963793124</v>
      </c>
      <c r="E51" s="378">
        <f>('Pivot Table for Data Exchange'!$C$300)*100</f>
        <v>11.834733722759479</v>
      </c>
      <c r="F51" s="378">
        <f>('Pivot Table for Data Exchange'!$C$303)*100</f>
        <v>0.71023524103364599</v>
      </c>
      <c r="G51" s="389">
        <f>('Pivot Table for Data Exchange'!$C$306)*100</f>
        <v>0</v>
      </c>
      <c r="H51" s="405">
        <f>('Pivot Table for Data Exchange'!$C$309)*100</f>
        <v>0</v>
      </c>
      <c r="I51" s="384" t="s">
        <v>893</v>
      </c>
      <c r="J51" s="378">
        <f>('Pivot Table for Data Exchange'!$C$312)*100</f>
        <v>66.180728352465607</v>
      </c>
      <c r="K51" s="378">
        <f>('Pivot Table for Data Exchange'!$C$315)*100</f>
        <v>5.6656830732515004</v>
      </c>
      <c r="L51" s="379">
        <f t="shared" ref="L51:L53" si="9">SUM(M51:O51)</f>
        <v>28.011137114155421</v>
      </c>
      <c r="M51" s="378">
        <f>('Pivot Table for Data Exchange'!$C$318)*100</f>
        <v>26.923325964091134</v>
      </c>
      <c r="N51" s="378">
        <f>('Pivot Table for Data Exchange'!$C$321)*100</f>
        <v>1.0878111500642882</v>
      </c>
      <c r="O51" s="385">
        <f>('Pivot Table for Data Exchange'!$C$324)*100</f>
        <v>0</v>
      </c>
      <c r="P51" s="390">
        <f>('Pivot Table for Data Exchange'!$C$327)*100</f>
        <v>0.14245146012746632</v>
      </c>
      <c r="Q51" s="383">
        <f t="shared" si="3"/>
        <v>100</v>
      </c>
      <c r="R51" s="383">
        <f t="shared" si="2"/>
        <v>99.999999999999986</v>
      </c>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row>
    <row r="52" spans="1:41" ht="15.75" customHeight="1">
      <c r="A52" s="349" t="s">
        <v>894</v>
      </c>
      <c r="B52" s="378">
        <f>('Pivot Table for Data Exchange'!$C$330)*100</f>
        <v>86.722587734107577</v>
      </c>
      <c r="C52" s="378">
        <f>('Pivot Table for Data Exchange'!$C$333)*100</f>
        <v>0.1596334008493159</v>
      </c>
      <c r="D52" s="379">
        <f t="shared" si="8"/>
        <v>13.117778865043116</v>
      </c>
      <c r="E52" s="378">
        <f>('Pivot Table for Data Exchange'!$C$336)*100</f>
        <v>12.990647242860174</v>
      </c>
      <c r="F52" s="390">
        <f>('Pivot Table for Data Exchange'!$C$339)*100</f>
        <v>7.4501396138736409E-3</v>
      </c>
      <c r="G52" s="385">
        <f>('Pivot Table for Data Exchange'!$C$342)*100</f>
        <v>0.11968148256906955</v>
      </c>
      <c r="H52" s="378">
        <f>('Pivot Table for Data Exchange'!$C$345)*100</f>
        <v>0</v>
      </c>
      <c r="I52" s="384" t="s">
        <v>894</v>
      </c>
      <c r="J52" s="378">
        <f>('Pivot Table for Data Exchange'!$C$348)*100</f>
        <v>79.337477178948703</v>
      </c>
      <c r="K52" s="378">
        <f>('Pivot Table for Data Exchange'!$C$351)*100</f>
        <v>1.4510495045325511</v>
      </c>
      <c r="L52" s="379">
        <f t="shared" si="9"/>
        <v>19.211473316518745</v>
      </c>
      <c r="M52" s="378">
        <f>('Pivot Table for Data Exchange'!$C$354)*100</f>
        <v>18.873141337498286</v>
      </c>
      <c r="N52" s="387">
        <f>('Pivot Table for Data Exchange'!$C$357)*100</f>
        <v>2.2372545088065514E-2</v>
      </c>
      <c r="O52" s="386">
        <f>('Pivot Table for Data Exchange'!$C$360)*100</f>
        <v>0.31595943393239689</v>
      </c>
      <c r="P52" s="378">
        <f>('Pivot Table for Data Exchange'!$C$363)*100</f>
        <v>0</v>
      </c>
      <c r="Q52" s="383">
        <f t="shared" si="3"/>
        <v>100.00000000000001</v>
      </c>
      <c r="R52" s="383">
        <f t="shared" si="2"/>
        <v>100</v>
      </c>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row>
    <row r="53" spans="1:41" ht="15.75" customHeight="1">
      <c r="A53" s="349" t="s">
        <v>895</v>
      </c>
      <c r="B53" s="378">
        <f>('Pivot Table for Data Exchange'!$C$366)*100</f>
        <v>86.299528541815022</v>
      </c>
      <c r="C53" s="378">
        <f>('Pivot Table for Data Exchange'!$C$369)*100</f>
        <v>0.90564332278792392</v>
      </c>
      <c r="D53" s="379">
        <f t="shared" si="8"/>
        <v>12.72278358785182</v>
      </c>
      <c r="E53" s="378">
        <f>('Pivot Table for Data Exchange'!$C$372)*100</f>
        <v>12.476131074380991</v>
      </c>
      <c r="F53" s="378">
        <f>('Pivot Table for Data Exchange'!$C$375)*100</f>
        <v>1.3758507343707526E-2</v>
      </c>
      <c r="G53" s="386">
        <f>('Pivot Table for Data Exchange'!$C$378)*100</f>
        <v>0.23289400612712194</v>
      </c>
      <c r="H53" s="378">
        <f>('Pivot Table for Data Exchange'!$C$381)*100</f>
        <v>7.2044547545232138E-2</v>
      </c>
      <c r="I53" s="384" t="s">
        <v>895</v>
      </c>
      <c r="J53" s="378">
        <f>('Pivot Table for Data Exchange'!$C$384)*100</f>
        <v>76.145971274320061</v>
      </c>
      <c r="K53" s="378">
        <f>('Pivot Table for Data Exchange'!$C$387)*100</f>
        <v>7.5226647652032188</v>
      </c>
      <c r="L53" s="379">
        <f t="shared" si="9"/>
        <v>15.990968048623138</v>
      </c>
      <c r="M53" s="378">
        <f>('Pivot Table for Data Exchange'!$C$390)*100</f>
        <v>14.082289226172287</v>
      </c>
      <c r="N53" s="378">
        <f>('Pivot Table for Data Exchange'!$C$393)*100</f>
        <v>0.29922583273912601</v>
      </c>
      <c r="O53" s="386">
        <f>('Pivot Table for Data Exchange'!$C$396)*100</f>
        <v>1.6094529897117245</v>
      </c>
      <c r="P53" s="378">
        <f>('Pivot Table for Data Exchange'!$C$399)*100</f>
        <v>0.34039591185358731</v>
      </c>
      <c r="Q53" s="383">
        <f t="shared" si="3"/>
        <v>100</v>
      </c>
      <c r="R53" s="383">
        <f t="shared" si="2"/>
        <v>100</v>
      </c>
      <c r="S53" s="384"/>
      <c r="T53" s="358"/>
      <c r="U53" s="384"/>
      <c r="V53" s="384"/>
      <c r="W53" s="384"/>
      <c r="X53" s="384"/>
      <c r="Y53" s="384"/>
      <c r="Z53" s="384"/>
      <c r="AA53" s="384"/>
      <c r="AB53" s="384"/>
      <c r="AC53" s="384"/>
      <c r="AD53" s="384"/>
      <c r="AE53" s="384"/>
      <c r="AF53" s="384"/>
      <c r="AG53" s="384"/>
      <c r="AH53" s="384"/>
      <c r="AI53" s="384"/>
      <c r="AJ53" s="384"/>
      <c r="AK53" s="384"/>
      <c r="AL53" s="384"/>
      <c r="AM53" s="384"/>
      <c r="AN53" s="384"/>
      <c r="AO53" s="384"/>
    </row>
    <row r="54" spans="1:41" ht="15.75" customHeight="1">
      <c r="A54" s="349" t="s">
        <v>896</v>
      </c>
      <c r="B54" s="378">
        <f>('Pivot Table for Data Exchange'!$C$402)*100</f>
        <v>91.985820745457417</v>
      </c>
      <c r="C54" s="378">
        <f>('Pivot Table for Data Exchange'!$C$405)*100</f>
        <v>0.90107936659816756</v>
      </c>
      <c r="D54" s="379">
        <f>SUM(E54:G54)</f>
        <v>7.1130998879444203</v>
      </c>
      <c r="E54" s="378">
        <f>('Pivot Table for Data Exchange'!$C$408)*100</f>
        <v>7.1130998879444203</v>
      </c>
      <c r="F54" s="378">
        <f>('Pivot Table for Data Exchange'!$C$411)*100</f>
        <v>0</v>
      </c>
      <c r="G54" s="386">
        <f>('Pivot Table for Data Exchange'!$C$414)*100</f>
        <v>0</v>
      </c>
      <c r="H54" s="378">
        <f>('Pivot Table for Data Exchange'!$C$417)*100</f>
        <v>0</v>
      </c>
      <c r="I54" s="384" t="s">
        <v>896</v>
      </c>
      <c r="J54" s="378">
        <f>('Pivot Table for Data Exchange'!$C$420)*100</f>
        <v>67.635852924243594</v>
      </c>
      <c r="K54" s="378">
        <f>('Pivot Table for Data Exchange'!$C$423)*100</f>
        <v>10.234944243370993</v>
      </c>
      <c r="L54" s="379">
        <f>SUM(M54:O54)</f>
        <v>22.129202832385417</v>
      </c>
      <c r="M54" s="378">
        <f>('Pivot Table for Data Exchange'!$C$426)*100</f>
        <v>19.05479587683304</v>
      </c>
      <c r="N54" s="378">
        <f>('Pivot Table for Data Exchange'!$C$429)*100</f>
        <v>3.0062008852121171</v>
      </c>
      <c r="O54" s="386">
        <f>('Pivot Table for Data Exchange'!$C$432)*100</f>
        <v>6.8206070340260286E-2</v>
      </c>
      <c r="P54" s="378">
        <f>('Pivot Table for Data Exchange'!$C$435)*100</f>
        <v>0</v>
      </c>
      <c r="Q54" s="383">
        <f t="shared" si="3"/>
        <v>100</v>
      </c>
      <c r="R54" s="383">
        <f t="shared" si="2"/>
        <v>100</v>
      </c>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row>
    <row r="55" spans="1:41" ht="14.25" customHeight="1">
      <c r="B55" s="378"/>
      <c r="C55" s="378"/>
      <c r="D55" s="379"/>
      <c r="E55" s="378"/>
      <c r="F55" s="378"/>
      <c r="G55" s="386"/>
      <c r="H55" s="378"/>
      <c r="I55" s="384"/>
      <c r="J55" s="378"/>
      <c r="K55" s="378"/>
      <c r="L55" s="379"/>
      <c r="M55" s="378"/>
      <c r="N55" s="378"/>
      <c r="O55" s="386"/>
      <c r="P55" s="378"/>
      <c r="Q55" s="383">
        <f t="shared" si="3"/>
        <v>0</v>
      </c>
      <c r="R55" s="383">
        <f t="shared" si="2"/>
        <v>0</v>
      </c>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row>
    <row r="56" spans="1:41" ht="15.75" customHeight="1">
      <c r="A56" s="349" t="s">
        <v>897</v>
      </c>
      <c r="B56" s="378">
        <f>('Pivot Table for Data Exchange'!$C$438)*100</f>
        <v>85.279746768538686</v>
      </c>
      <c r="C56" s="378">
        <f>('Pivot Table for Data Exchange'!$C$441)*100</f>
        <v>1.518194649173807</v>
      </c>
      <c r="D56" s="379">
        <f>SUM(E56:G56)</f>
        <v>12.637690691942833</v>
      </c>
      <c r="E56" s="378">
        <f>('Pivot Table for Data Exchange'!$C$444)*100</f>
        <v>9.4662289536584083</v>
      </c>
      <c r="F56" s="405">
        <f>('Pivot Table for Data Exchange'!$C$447)*100</f>
        <v>3.1614781231586592E-2</v>
      </c>
      <c r="G56" s="386">
        <f>('Pivot Table for Data Exchange'!$C$450)*100</f>
        <v>3.1398469570528365</v>
      </c>
      <c r="H56" s="378">
        <f>('Pivot Table for Data Exchange'!$C$453)*100</f>
        <v>0.56436789034466961</v>
      </c>
      <c r="I56" s="384" t="s">
        <v>897</v>
      </c>
      <c r="J56" s="378">
        <f>('Pivot Table for Data Exchange'!$C$456)*100</f>
        <v>69.795687475043252</v>
      </c>
      <c r="K56" s="378">
        <f>('Pivot Table for Data Exchange'!$C$459)*100</f>
        <v>2.0071875415945692</v>
      </c>
      <c r="L56" s="379">
        <f>SUM(M56:O56)</f>
        <v>24.291228537202183</v>
      </c>
      <c r="M56" s="378">
        <f>('Pivot Table for Data Exchange'!$C$462)*100</f>
        <v>21.402236124051644</v>
      </c>
      <c r="N56" s="378">
        <f>('Pivot Table for Data Exchange'!$C$465)*100</f>
        <v>0.15173698921868761</v>
      </c>
      <c r="O56" s="386">
        <f>('Pivot Table for Data Exchange'!$C$468)*100</f>
        <v>2.7372554239318512</v>
      </c>
      <c r="P56" s="378">
        <f>('Pivot Table for Data Exchange'!$C$471)*100</f>
        <v>3.9058964461599892</v>
      </c>
      <c r="Q56" s="383">
        <f t="shared" si="3"/>
        <v>100</v>
      </c>
      <c r="R56" s="383">
        <f t="shared" si="2"/>
        <v>100</v>
      </c>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row>
    <row r="57" spans="1:41" ht="15.75" customHeight="1">
      <c r="A57" s="349" t="s">
        <v>898</v>
      </c>
      <c r="B57" s="378">
        <f>('Pivot Table for Data Exchange'!$C$474)*100</f>
        <v>84.618767545872785</v>
      </c>
      <c r="C57" s="378">
        <f>('Pivot Table for Data Exchange'!$C$477)*100</f>
        <v>0.83142085543801958</v>
      </c>
      <c r="D57" s="379">
        <f>SUM(E57:G57)</f>
        <v>14.549811598689196</v>
      </c>
      <c r="E57" s="378">
        <f>('Pivot Table for Data Exchange'!$C$480)*100</f>
        <v>13.942489947101242</v>
      </c>
      <c r="F57" s="378">
        <f>('Pivot Table for Data Exchange'!$C$483)*100</f>
        <v>0.44938782916857917</v>
      </c>
      <c r="G57" s="386">
        <f>('Pivot Table for Data Exchange'!$C$486)*100</f>
        <v>0.15793382241937476</v>
      </c>
      <c r="H57" s="378">
        <f>('Pivot Table for Data Exchange'!$C$489)*100</f>
        <v>0</v>
      </c>
      <c r="I57" s="384" t="s">
        <v>898</v>
      </c>
      <c r="J57" s="378">
        <f>('Pivot Table for Data Exchange'!$C$492)*100</f>
        <v>80.965693656333599</v>
      </c>
      <c r="K57" s="378">
        <f>('Pivot Table for Data Exchange'!$C$495)*100</f>
        <v>1.7107026009324531</v>
      </c>
      <c r="L57" s="379">
        <f>SUM(M57:O57)</f>
        <v>17.323603742733955</v>
      </c>
      <c r="M57" s="378">
        <f>('Pivot Table for Data Exchange'!$C$498)*100</f>
        <v>16.764777815548989</v>
      </c>
      <c r="N57" s="378">
        <f>('Pivot Table for Data Exchange'!$C$501)*100</f>
        <v>0.18773659348451729</v>
      </c>
      <c r="O57" s="386">
        <f>('Pivot Table for Data Exchange'!$C$504)*100</f>
        <v>0.371089333700449</v>
      </c>
      <c r="P57" s="378">
        <f>('Pivot Table for Data Exchange'!$C$507)*100</f>
        <v>0</v>
      </c>
      <c r="Q57" s="383">
        <f t="shared" si="3"/>
        <v>100</v>
      </c>
      <c r="R57" s="383">
        <f t="shared" si="2"/>
        <v>100</v>
      </c>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row>
    <row r="58" spans="1:41" ht="15.75" customHeight="1">
      <c r="A58" s="349" t="s">
        <v>899</v>
      </c>
      <c r="B58" s="378">
        <f>('Pivot Table for Data Exchange'!$C$510)*100</f>
        <v>89.930440115402149</v>
      </c>
      <c r="C58" s="378">
        <f>('Pivot Table for Data Exchange'!$C$513)*100</f>
        <v>1.5294946635355708</v>
      </c>
      <c r="D58" s="379">
        <f t="shared" ref="D58" si="10">SUM(E58:G58)</f>
        <v>8.5400652210622798</v>
      </c>
      <c r="E58" s="378">
        <f>('Pivot Table for Data Exchange'!$C$516)*100</f>
        <v>7.6056158807594043</v>
      </c>
      <c r="F58" s="378">
        <f>('Pivot Table for Data Exchange'!$C$519)*100</f>
        <v>0.92574299342383792</v>
      </c>
      <c r="G58" s="386">
        <f>('Pivot Table for Data Exchange'!$C$522)*100</f>
        <v>8.7063468790377473E-3</v>
      </c>
      <c r="H58" s="378">
        <f>('Pivot Table for Data Exchange'!$C$525)*100</f>
        <v>0</v>
      </c>
      <c r="I58" s="384" t="s">
        <v>899</v>
      </c>
      <c r="J58" s="378">
        <f>('Pivot Table for Data Exchange'!$C$528)*100</f>
        <v>80.301005932756524</v>
      </c>
      <c r="K58" s="378">
        <f>('Pivot Table for Data Exchange'!$C$531)*100</f>
        <v>7.2042776605567447</v>
      </c>
      <c r="L58" s="379">
        <f t="shared" ref="L58" si="11">SUM(M58:O58)</f>
        <v>12.494716406686734</v>
      </c>
      <c r="M58" s="378">
        <f>('Pivot Table for Data Exchange'!$C$534)*100</f>
        <v>8.7991914607044048</v>
      </c>
      <c r="N58" s="378">
        <f>('Pivot Table for Data Exchange'!$C$537)*100</f>
        <v>3.3510915871359472</v>
      </c>
      <c r="O58" s="386">
        <f>('Pivot Table for Data Exchange'!$C$540)*100</f>
        <v>0.34443335884638171</v>
      </c>
      <c r="P58" s="378">
        <f>('Pivot Table for Data Exchange'!$C$543)*100</f>
        <v>0</v>
      </c>
      <c r="Q58" s="383">
        <f t="shared" si="3"/>
        <v>100</v>
      </c>
      <c r="R58" s="383">
        <f t="shared" si="2"/>
        <v>100</v>
      </c>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row>
    <row r="59" spans="1:41" ht="15.75" customHeight="1">
      <c r="A59" s="355" t="s">
        <v>900</v>
      </c>
      <c r="B59" s="391">
        <f>('Pivot Table for Data Exchange'!$C$546)*100</f>
        <v>89.263676360718335</v>
      </c>
      <c r="C59" s="391">
        <f>('Pivot Table for Data Exchange'!$C$549)*100</f>
        <v>0.1680240798644739</v>
      </c>
      <c r="D59" s="392">
        <f>SUM(E59:G59)</f>
        <v>10.56829955941719</v>
      </c>
      <c r="E59" s="391">
        <f>('Pivot Table for Data Exchange'!$C$552)*100</f>
        <v>9.9853651487620336</v>
      </c>
      <c r="F59" s="406">
        <f>('Pivot Table for Data Exchange'!$C$555)*100</f>
        <v>0</v>
      </c>
      <c r="G59" s="393">
        <f>('Pivot Table for Data Exchange'!$C$558)*100</f>
        <v>0.58293441065515561</v>
      </c>
      <c r="H59" s="391">
        <f>('Pivot Table for Data Exchange'!$C$561)*100</f>
        <v>0</v>
      </c>
      <c r="I59" s="394" t="s">
        <v>900</v>
      </c>
      <c r="J59" s="391">
        <f>('Pivot Table for Data Exchange'!$C$564)*100</f>
        <v>66.435738426388994</v>
      </c>
      <c r="K59" s="391">
        <f>('Pivot Table for Data Exchange'!$C$567)*100</f>
        <v>3.0101390833763251</v>
      </c>
      <c r="L59" s="392">
        <f>SUM(M59:O59)</f>
        <v>30.554122490234683</v>
      </c>
      <c r="M59" s="391">
        <f>('Pivot Table for Data Exchange'!$C$570)*100</f>
        <v>29.9066109350488</v>
      </c>
      <c r="N59" s="391">
        <f>('Pivot Table for Data Exchange'!$C$573)*100</f>
        <v>3.1585929521262598E-3</v>
      </c>
      <c r="O59" s="393">
        <f>('Pivot Table for Data Exchange'!$C$576)*100</f>
        <v>0.64435296223375693</v>
      </c>
      <c r="P59" s="391">
        <f>('Pivot Table for Data Exchange'!$C$579)*100</f>
        <v>0</v>
      </c>
      <c r="Q59" s="383">
        <f t="shared" si="3"/>
        <v>100</v>
      </c>
      <c r="R59" s="383">
        <f t="shared" si="2"/>
        <v>100</v>
      </c>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row>
    <row r="60" spans="1:41" s="396" customFormat="1" ht="13.5" customHeight="1">
      <c r="A60" s="397" t="s">
        <v>926</v>
      </c>
      <c r="B60" s="398"/>
      <c r="C60" s="398"/>
      <c r="D60" s="399"/>
      <c r="E60" s="398"/>
      <c r="F60" s="399"/>
      <c r="G60" s="399"/>
      <c r="H60" s="398"/>
      <c r="I60" s="397" t="s">
        <v>926</v>
      </c>
      <c r="J60" s="398"/>
      <c r="K60" s="398"/>
      <c r="L60" s="399"/>
      <c r="M60" s="398"/>
      <c r="N60" s="399"/>
      <c r="O60" s="399"/>
      <c r="P60" s="398"/>
      <c r="Q60" s="383"/>
      <c r="R60" s="383"/>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row>
    <row r="61" spans="1:41" s="396" customFormat="1" ht="24" customHeight="1">
      <c r="A61" s="501" t="s">
        <v>927</v>
      </c>
      <c r="B61" s="518"/>
      <c r="C61" s="518"/>
      <c r="D61" s="518"/>
      <c r="E61" s="518"/>
      <c r="F61" s="518"/>
      <c r="G61" s="518"/>
      <c r="H61" s="518"/>
      <c r="I61" s="501" t="s">
        <v>927</v>
      </c>
      <c r="J61" s="518"/>
      <c r="K61" s="518"/>
      <c r="L61" s="518"/>
      <c r="M61" s="518"/>
      <c r="N61" s="518"/>
      <c r="O61" s="518"/>
      <c r="P61" s="518"/>
      <c r="Q61" s="383"/>
      <c r="R61" s="383"/>
    </row>
    <row r="62" spans="1:41" s="396" customFormat="1" ht="13.5" customHeight="1">
      <c r="A62" s="407"/>
      <c r="B62" s="408"/>
      <c r="I62" s="407"/>
      <c r="P62" s="409"/>
      <c r="Q62" s="383"/>
      <c r="R62" s="383"/>
    </row>
    <row r="63" spans="1:41" s="396" customFormat="1" ht="13.5" customHeight="1">
      <c r="H63" s="402" t="s">
        <v>1007</v>
      </c>
      <c r="P63" s="402" t="s">
        <v>1007</v>
      </c>
      <c r="Q63" s="383"/>
      <c r="R63" s="383"/>
    </row>
    <row r="64" spans="1:41" ht="18">
      <c r="A64" s="344" t="s">
        <v>928</v>
      </c>
      <c r="B64" s="345"/>
      <c r="C64" s="345"/>
      <c r="D64" s="345"/>
      <c r="E64" s="345"/>
      <c r="F64" s="345"/>
      <c r="G64" s="345"/>
      <c r="H64" s="345"/>
      <c r="I64" s="344" t="s">
        <v>929</v>
      </c>
      <c r="J64" s="346"/>
      <c r="K64" s="346"/>
      <c r="L64" s="345"/>
      <c r="M64" s="346"/>
      <c r="N64" s="346"/>
      <c r="O64" s="346"/>
      <c r="P64" s="346"/>
      <c r="Q64" s="383"/>
      <c r="R64" s="383"/>
    </row>
    <row r="65" spans="1:41">
      <c r="A65" s="350"/>
      <c r="B65" s="346"/>
      <c r="C65" s="346"/>
      <c r="D65" s="346"/>
      <c r="E65" s="346"/>
      <c r="F65" s="346"/>
      <c r="G65" s="346"/>
      <c r="H65" s="346"/>
      <c r="I65" s="350"/>
      <c r="J65" s="346"/>
      <c r="K65" s="346"/>
      <c r="L65" s="346"/>
      <c r="M65" s="346"/>
      <c r="N65" s="346"/>
      <c r="O65" s="346"/>
      <c r="P65" s="346"/>
      <c r="Q65" s="383"/>
      <c r="R65" s="383"/>
    </row>
    <row r="66" spans="1:41" ht="15.75">
      <c r="A66" s="352" t="s">
        <v>906</v>
      </c>
      <c r="B66" s="346"/>
      <c r="C66" s="346"/>
      <c r="D66" s="346"/>
      <c r="E66" s="346"/>
      <c r="F66" s="346"/>
      <c r="G66" s="346"/>
      <c r="H66" s="346"/>
      <c r="I66" s="352" t="s">
        <v>907</v>
      </c>
      <c r="J66" s="346"/>
      <c r="K66" s="346"/>
      <c r="L66" s="346"/>
      <c r="M66" s="346"/>
      <c r="N66" s="346"/>
      <c r="O66" s="346"/>
      <c r="P66" s="346"/>
      <c r="Q66" s="383"/>
      <c r="R66" s="383"/>
    </row>
    <row r="67" spans="1:41" ht="15.75">
      <c r="A67" s="352" t="s">
        <v>952</v>
      </c>
      <c r="B67" s="346"/>
      <c r="C67" s="346"/>
      <c r="D67" s="346"/>
      <c r="E67" s="346"/>
      <c r="F67" s="346"/>
      <c r="G67" s="346"/>
      <c r="H67" s="346"/>
      <c r="I67" s="352" t="s">
        <v>952</v>
      </c>
      <c r="J67" s="346"/>
      <c r="K67" s="346"/>
      <c r="L67" s="346"/>
      <c r="M67" s="346"/>
      <c r="N67" s="346"/>
      <c r="O67" s="346"/>
      <c r="P67" s="346"/>
      <c r="Q67" s="383"/>
      <c r="R67" s="383"/>
    </row>
    <row r="68" spans="1:41">
      <c r="A68" s="355"/>
      <c r="B68" s="356"/>
      <c r="C68" s="356"/>
      <c r="D68" s="356"/>
      <c r="E68" s="356"/>
      <c r="F68" s="356"/>
      <c r="G68" s="356"/>
      <c r="H68" s="356"/>
      <c r="I68" s="357"/>
      <c r="L68" s="358"/>
      <c r="P68" s="355"/>
      <c r="Q68" s="383"/>
      <c r="R68" s="383"/>
    </row>
    <row r="69" spans="1:41" s="365" customFormat="1">
      <c r="A69" s="360"/>
      <c r="B69" s="361" t="s">
        <v>908</v>
      </c>
      <c r="C69" s="361"/>
      <c r="D69" s="361"/>
      <c r="E69" s="361"/>
      <c r="F69" s="361"/>
      <c r="G69" s="361"/>
      <c r="H69" s="362"/>
      <c r="I69" s="360"/>
      <c r="J69" s="361" t="s">
        <v>908</v>
      </c>
      <c r="K69" s="361"/>
      <c r="L69" s="361"/>
      <c r="M69" s="361"/>
      <c r="N69" s="361"/>
      <c r="O69" s="361"/>
      <c r="P69" s="362"/>
      <c r="Q69" s="383"/>
      <c r="R69" s="383"/>
    </row>
    <row r="70" spans="1:41" s="365" customFormat="1">
      <c r="A70" s="360"/>
      <c r="B70" s="361" t="s">
        <v>909</v>
      </c>
      <c r="C70" s="361"/>
      <c r="D70" s="506" t="s">
        <v>910</v>
      </c>
      <c r="E70" s="504"/>
      <c r="F70" s="504"/>
      <c r="G70" s="504"/>
      <c r="H70" s="368" t="s">
        <v>800</v>
      </c>
      <c r="I70" s="360"/>
      <c r="J70" s="361" t="s">
        <v>909</v>
      </c>
      <c r="K70" s="361"/>
      <c r="L70" s="506" t="s">
        <v>910</v>
      </c>
      <c r="M70" s="504"/>
      <c r="N70" s="504"/>
      <c r="O70" s="504"/>
      <c r="P70" s="368" t="s">
        <v>800</v>
      </c>
      <c r="Q70" s="383"/>
      <c r="R70" s="383"/>
    </row>
    <row r="71" spans="1:41" s="365" customFormat="1" ht="40.5" customHeight="1">
      <c r="A71" s="360"/>
      <c r="B71" s="369" t="s">
        <v>911</v>
      </c>
      <c r="C71" s="370" t="s">
        <v>912</v>
      </c>
      <c r="D71" s="371" t="s">
        <v>913</v>
      </c>
      <c r="E71" s="372" t="s">
        <v>10</v>
      </c>
      <c r="F71" s="369" t="s">
        <v>914</v>
      </c>
      <c r="G71" s="373" t="s">
        <v>924</v>
      </c>
      <c r="H71" s="374" t="s">
        <v>916</v>
      </c>
      <c r="I71" s="360"/>
      <c r="J71" s="369" t="s">
        <v>911</v>
      </c>
      <c r="K71" s="370" t="s">
        <v>912</v>
      </c>
      <c r="L71" s="371" t="s">
        <v>913</v>
      </c>
      <c r="M71" s="372" t="s">
        <v>10</v>
      </c>
      <c r="N71" s="369" t="s">
        <v>914</v>
      </c>
      <c r="O71" s="373" t="s">
        <v>924</v>
      </c>
      <c r="P71" s="374" t="s">
        <v>916</v>
      </c>
      <c r="Q71" s="383"/>
      <c r="R71" s="383"/>
      <c r="T71" s="403"/>
    </row>
    <row r="72" spans="1:41" ht="15.75" customHeight="1">
      <c r="A72" s="404" t="s">
        <v>885</v>
      </c>
      <c r="B72" s="378">
        <f>('Pivot Table for Data Exchange'!$D$6)*100</f>
        <v>82.140806965892367</v>
      </c>
      <c r="C72" s="390">
        <f>('Pivot Table for Data Exchange'!$D$9)*100</f>
        <v>4.22864223072245E-2</v>
      </c>
      <c r="D72" s="379">
        <f>SUM(E72:G72)</f>
        <v>17.816906611800412</v>
      </c>
      <c r="E72" s="378">
        <f>('Pivot Table for Data Exchange'!$D$12)*100</f>
        <v>17.803265830410986</v>
      </c>
      <c r="F72" s="378">
        <f>('Pivot Table for Data Exchange'!$D$15)*100</f>
        <v>1.3640781389427257E-2</v>
      </c>
      <c r="G72" s="382">
        <f>('Pivot Table for Data Exchange'!$D$18)*100</f>
        <v>0</v>
      </c>
      <c r="H72" s="378">
        <f>('Pivot Table for Data Exchange'!$D$21)*100</f>
        <v>0</v>
      </c>
      <c r="I72" s="381" t="s">
        <v>885</v>
      </c>
      <c r="J72" s="378">
        <f>('Pivot Table for Data Exchange'!$D$24)*100</f>
        <v>66.247460047229396</v>
      </c>
      <c r="K72" s="378">
        <f>('Pivot Table for Data Exchange'!$D$27)*100</f>
        <v>0.24163875006864738</v>
      </c>
      <c r="L72" s="379">
        <f>SUM(M72:O72)</f>
        <v>33.510901202701959</v>
      </c>
      <c r="M72" s="378">
        <f>('Pivot Table for Data Exchange'!$D$30)*100</f>
        <v>33.325553297819759</v>
      </c>
      <c r="N72" s="378">
        <f>('Pivot Table for Data Exchange'!$D$33)*100</f>
        <v>0.1853479048822011</v>
      </c>
      <c r="O72" s="382">
        <f>('Pivot Table for Data Exchange'!$D$36)*100</f>
        <v>0</v>
      </c>
      <c r="P72" s="378">
        <f>('Pivot Table for Data Exchange'!$D$39)*100</f>
        <v>0</v>
      </c>
      <c r="Q72" s="383">
        <f t="shared" si="3"/>
        <v>100</v>
      </c>
      <c r="R72" s="383">
        <f t="shared" si="2"/>
        <v>100</v>
      </c>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row>
    <row r="73" spans="1:41" ht="15.75" customHeight="1">
      <c r="A73" s="349" t="s">
        <v>886</v>
      </c>
      <c r="B73" s="378">
        <f>('Pivot Table for Data Exchange'!$D$42)*100</f>
        <v>56.56814648722208</v>
      </c>
      <c r="C73" s="378">
        <f>('Pivot Table for Data Exchange'!$D$45)*100</f>
        <v>10.317256609310906</v>
      </c>
      <c r="D73" s="379">
        <f t="shared" ref="D73:D75" si="12">SUM(E73:G73)</f>
        <v>33.114596903467017</v>
      </c>
      <c r="E73" s="378">
        <f>('Pivot Table for Data Exchange'!$D$48)*100</f>
        <v>33.114596903467017</v>
      </c>
      <c r="F73" s="378">
        <f>('Pivot Table for Data Exchange'!$D$51)*100</f>
        <v>0</v>
      </c>
      <c r="G73" s="386">
        <f>('Pivot Table for Data Exchange'!$D$54)*100</f>
        <v>0</v>
      </c>
      <c r="H73" s="378">
        <f>('Pivot Table for Data Exchange'!$D$57)*100</f>
        <v>0</v>
      </c>
      <c r="I73" s="384" t="s">
        <v>886</v>
      </c>
      <c r="J73" s="378">
        <f>('Pivot Table for Data Exchange'!$D$60)*100</f>
        <v>64.323701054216869</v>
      </c>
      <c r="K73" s="378">
        <f>('Pivot Table for Data Exchange'!$D$63)*100</f>
        <v>11.775225903614457</v>
      </c>
      <c r="L73" s="379">
        <f t="shared" ref="L73:L75" si="13">SUM(M73:O73)</f>
        <v>23.901073042168676</v>
      </c>
      <c r="M73" s="378">
        <f>('Pivot Table for Data Exchange'!$D$66)*100</f>
        <v>23.901073042168676</v>
      </c>
      <c r="N73" s="378">
        <f>('Pivot Table for Data Exchange'!$D$69)*100</f>
        <v>0</v>
      </c>
      <c r="O73" s="386">
        <f>('Pivot Table for Data Exchange'!$D$72)*100</f>
        <v>0</v>
      </c>
      <c r="P73" s="378">
        <f>('Pivot Table for Data Exchange'!$D$75)*100</f>
        <v>0</v>
      </c>
      <c r="Q73" s="383">
        <f t="shared" si="3"/>
        <v>100</v>
      </c>
      <c r="R73" s="383">
        <f t="shared" si="2"/>
        <v>100</v>
      </c>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row>
    <row r="74" spans="1:41" ht="15.75" customHeight="1">
      <c r="A74" s="349" t="s">
        <v>887</v>
      </c>
      <c r="B74" s="378">
        <f>('Pivot Table for Data Exchange'!$D$78)*100</f>
        <v>0</v>
      </c>
      <c r="C74" s="378">
        <f>('Pivot Table for Data Exchange'!$D$81)*100</f>
        <v>0</v>
      </c>
      <c r="D74" s="379">
        <f t="shared" si="12"/>
        <v>0</v>
      </c>
      <c r="E74" s="378">
        <f>('Pivot Table for Data Exchange'!$D$84)*100</f>
        <v>0</v>
      </c>
      <c r="F74" s="378">
        <f>('Pivot Table for Data Exchange'!$D$87)*100</f>
        <v>0</v>
      </c>
      <c r="G74" s="386">
        <f>('Pivot Table for Data Exchange'!$D$90)*100</f>
        <v>0</v>
      </c>
      <c r="H74" s="378">
        <f>('Pivot Table for Data Exchange'!$D$93)*100</f>
        <v>0</v>
      </c>
      <c r="I74" s="384" t="s">
        <v>887</v>
      </c>
      <c r="J74" s="378">
        <f>('Pivot Table for Data Exchange'!$D$96)*100</f>
        <v>0</v>
      </c>
      <c r="K74" s="378">
        <f>('Pivot Table for Data Exchange'!$D$99)*100</f>
        <v>0</v>
      </c>
      <c r="L74" s="379">
        <f t="shared" si="13"/>
        <v>0</v>
      </c>
      <c r="M74" s="378">
        <f>('Pivot Table for Data Exchange'!$D$102)*100</f>
        <v>0</v>
      </c>
      <c r="N74" s="378">
        <f>('Pivot Table for Data Exchange'!$D$105)*100</f>
        <v>0</v>
      </c>
      <c r="O74" s="386">
        <f>('Pivot Table for Data Exchange'!$D$108)*100</f>
        <v>0</v>
      </c>
      <c r="P74" s="378">
        <f>('Pivot Table for Data Exchange'!$D$111)*100</f>
        <v>0</v>
      </c>
      <c r="Q74" s="383">
        <f t="shared" si="3"/>
        <v>0</v>
      </c>
      <c r="R74" s="383">
        <f t="shared" si="2"/>
        <v>0</v>
      </c>
      <c r="S74" s="384"/>
      <c r="T74" s="358"/>
      <c r="U74" s="384"/>
      <c r="V74" s="384"/>
      <c r="W74" s="384"/>
      <c r="X74" s="384"/>
      <c r="Y74" s="384"/>
      <c r="Z74" s="384"/>
      <c r="AA74" s="384"/>
      <c r="AB74" s="384"/>
      <c r="AC74" s="384"/>
      <c r="AD74" s="384"/>
      <c r="AE74" s="384"/>
      <c r="AF74" s="384"/>
      <c r="AG74" s="384"/>
      <c r="AH74" s="384"/>
      <c r="AI74" s="384"/>
      <c r="AJ74" s="384"/>
      <c r="AK74" s="384"/>
      <c r="AL74" s="384"/>
      <c r="AM74" s="384"/>
      <c r="AN74" s="384"/>
      <c r="AO74" s="384"/>
    </row>
    <row r="75" spans="1:41" ht="15.75" customHeight="1">
      <c r="A75" s="349" t="s">
        <v>888</v>
      </c>
      <c r="B75" s="378">
        <f>('Pivot Table for Data Exchange'!$D$114)*100</f>
        <v>0</v>
      </c>
      <c r="C75" s="378">
        <f>('Pivot Table for Data Exchange'!$D$117)*100</f>
        <v>0</v>
      </c>
      <c r="D75" s="379">
        <f t="shared" si="12"/>
        <v>0</v>
      </c>
      <c r="E75" s="378">
        <f>('Pivot Table for Data Exchange'!$D$120)*100</f>
        <v>0</v>
      </c>
      <c r="F75" s="378">
        <f>('Pivot Table for Data Exchange'!$D$123)*100</f>
        <v>0</v>
      </c>
      <c r="G75" s="386">
        <f>('Pivot Table for Data Exchange'!$D$126)*100</f>
        <v>0</v>
      </c>
      <c r="H75" s="378">
        <f>('Pivot Table for Data Exchange'!$D$129)*100</f>
        <v>0</v>
      </c>
      <c r="I75" s="384" t="s">
        <v>888</v>
      </c>
      <c r="J75" s="378">
        <f>('Pivot Table for Data Exchange'!$D$132)*100</f>
        <v>0</v>
      </c>
      <c r="K75" s="378">
        <f>('Pivot Table for Data Exchange'!$D$135)*100</f>
        <v>0</v>
      </c>
      <c r="L75" s="379">
        <f t="shared" si="13"/>
        <v>0</v>
      </c>
      <c r="M75" s="378">
        <f>('Pivot Table for Data Exchange'!$D$138)*100</f>
        <v>0</v>
      </c>
      <c r="N75" s="378">
        <f>('Pivot Table for Data Exchange'!$D$141)*100</f>
        <v>0</v>
      </c>
      <c r="O75" s="386">
        <f>('Pivot Table for Data Exchange'!$D$144)*100</f>
        <v>0</v>
      </c>
      <c r="P75" s="378">
        <f>('Pivot Table for Data Exchange'!$D$147)*100</f>
        <v>0</v>
      </c>
      <c r="Q75" s="383">
        <f t="shared" ref="Q75:Q138" si="14">SUM(B75,C75,D75,H75)</f>
        <v>0</v>
      </c>
      <c r="R75" s="383">
        <f t="shared" ref="R75:R138" si="15">SUM(J75,K75,L75,P75)</f>
        <v>0</v>
      </c>
      <c r="S75" s="384"/>
      <c r="U75" s="384"/>
      <c r="V75" s="384"/>
      <c r="W75" s="384"/>
      <c r="X75" s="384"/>
      <c r="Y75" s="384"/>
      <c r="Z75" s="384"/>
      <c r="AA75" s="384"/>
      <c r="AB75" s="384"/>
      <c r="AC75" s="384"/>
      <c r="AD75" s="384"/>
      <c r="AE75" s="384"/>
      <c r="AF75" s="384"/>
      <c r="AG75" s="384"/>
      <c r="AH75" s="384"/>
      <c r="AI75" s="384"/>
      <c r="AJ75" s="384"/>
      <c r="AK75" s="384"/>
      <c r="AL75" s="384"/>
      <c r="AM75" s="384"/>
      <c r="AN75" s="384"/>
      <c r="AO75" s="384"/>
    </row>
    <row r="76" spans="1:41" ht="9" customHeight="1">
      <c r="B76" s="378"/>
      <c r="C76" s="378"/>
      <c r="D76" s="379"/>
      <c r="E76" s="378"/>
      <c r="F76" s="378"/>
      <c r="G76" s="386"/>
      <c r="H76" s="378"/>
      <c r="I76" s="384"/>
      <c r="J76" s="378"/>
      <c r="K76" s="378"/>
      <c r="L76" s="379"/>
      <c r="M76" s="378"/>
      <c r="N76" s="378"/>
      <c r="O76" s="386"/>
      <c r="P76" s="378"/>
      <c r="Q76" s="383">
        <f t="shared" si="14"/>
        <v>0</v>
      </c>
      <c r="R76" s="383">
        <f t="shared" si="15"/>
        <v>0</v>
      </c>
      <c r="S76" s="384"/>
      <c r="U76" s="384"/>
      <c r="V76" s="384"/>
      <c r="W76" s="384"/>
      <c r="X76" s="384"/>
      <c r="Y76" s="384"/>
      <c r="Z76" s="384"/>
      <c r="AA76" s="384"/>
      <c r="AB76" s="384"/>
      <c r="AC76" s="384"/>
      <c r="AD76" s="384"/>
      <c r="AE76" s="384"/>
      <c r="AF76" s="384"/>
      <c r="AG76" s="384"/>
      <c r="AH76" s="384"/>
      <c r="AI76" s="384"/>
      <c r="AJ76" s="384"/>
      <c r="AK76" s="384"/>
      <c r="AL76" s="384"/>
      <c r="AM76" s="384"/>
      <c r="AN76" s="384"/>
      <c r="AO76" s="384"/>
    </row>
    <row r="77" spans="1:41" ht="15.75" customHeight="1">
      <c r="A77" s="349" t="s">
        <v>889</v>
      </c>
      <c r="B77" s="378">
        <f>('Pivot Table for Data Exchange'!$D$150)*100</f>
        <v>95.47212923716711</v>
      </c>
      <c r="C77" s="378">
        <f>('Pivot Table for Data Exchange'!$D$153)*100</f>
        <v>3.2544642347107815</v>
      </c>
      <c r="D77" s="379">
        <f t="shared" ref="D77:D80" si="16">SUM(E77:G77)</f>
        <v>1.2734065281221081</v>
      </c>
      <c r="E77" s="378">
        <f>('Pivot Table for Data Exchange'!$D$156)*100</f>
        <v>1.2734065281221081</v>
      </c>
      <c r="F77" s="378">
        <f>('Pivot Table for Data Exchange'!$D$159)*100</f>
        <v>0</v>
      </c>
      <c r="G77" s="386">
        <f>('Pivot Table for Data Exchange'!$D$162)*100</f>
        <v>0</v>
      </c>
      <c r="H77" s="378">
        <f>('Pivot Table for Data Exchange'!$D$165)*100</f>
        <v>0</v>
      </c>
      <c r="I77" s="384" t="s">
        <v>889</v>
      </c>
      <c r="J77" s="378">
        <f>('Pivot Table for Data Exchange'!$D$168)*100</f>
        <v>87.96563353081909</v>
      </c>
      <c r="K77" s="378">
        <f>('Pivot Table for Data Exchange'!$D$171)*100</f>
        <v>0.96415642594463813</v>
      </c>
      <c r="L77" s="379">
        <f t="shared" ref="L77:L80" si="17">SUM(M77:O77)</f>
        <v>11.070210043236278</v>
      </c>
      <c r="M77" s="378">
        <f>('Pivot Table for Data Exchange'!$D$174)*100</f>
        <v>11.070210043236278</v>
      </c>
      <c r="N77" s="378">
        <f>('Pivot Table for Data Exchange'!$D$177)*100</f>
        <v>0</v>
      </c>
      <c r="O77" s="386">
        <f>('Pivot Table for Data Exchange'!$D$180)*100</f>
        <v>0</v>
      </c>
      <c r="P77" s="378">
        <f>('Pivot Table for Data Exchange'!$D$183)*100</f>
        <v>0</v>
      </c>
      <c r="Q77" s="383">
        <f t="shared" si="14"/>
        <v>100</v>
      </c>
      <c r="R77" s="383">
        <f t="shared" si="15"/>
        <v>100</v>
      </c>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row>
    <row r="78" spans="1:41" ht="15.75" customHeight="1">
      <c r="A78" s="349" t="s">
        <v>890</v>
      </c>
      <c r="B78" s="378">
        <f>('Pivot Table for Data Exchange'!$D$186)*100</f>
        <v>0</v>
      </c>
      <c r="C78" s="378">
        <f>('Pivot Table for Data Exchange'!$D$189)*100</f>
        <v>0</v>
      </c>
      <c r="D78" s="379">
        <f t="shared" si="16"/>
        <v>0</v>
      </c>
      <c r="E78" s="378">
        <f>('Pivot Table for Data Exchange'!$D$192)*100</f>
        <v>0</v>
      </c>
      <c r="F78" s="378">
        <f>('Pivot Table for Data Exchange'!$D$195)*100</f>
        <v>0</v>
      </c>
      <c r="G78" s="386">
        <f>('Pivot Table for Data Exchange'!$D$198)*100</f>
        <v>0</v>
      </c>
      <c r="H78" s="378">
        <f>('Pivot Table for Data Exchange'!$D$201)*100</f>
        <v>0</v>
      </c>
      <c r="I78" s="384" t="s">
        <v>890</v>
      </c>
      <c r="J78" s="378">
        <f>('Pivot Table for Data Exchange'!$D$204)*100</f>
        <v>0</v>
      </c>
      <c r="K78" s="378">
        <f>('Pivot Table for Data Exchange'!$D$207)*100</f>
        <v>0</v>
      </c>
      <c r="L78" s="379">
        <f t="shared" si="17"/>
        <v>0</v>
      </c>
      <c r="M78" s="378">
        <f>('Pivot Table for Data Exchange'!$D$210)*100</f>
        <v>0</v>
      </c>
      <c r="N78" s="378">
        <f>('Pivot Table for Data Exchange'!$D$213)*100</f>
        <v>0</v>
      </c>
      <c r="O78" s="386">
        <f>('Pivot Table for Data Exchange'!$D$216)*100</f>
        <v>0</v>
      </c>
      <c r="P78" s="378">
        <f>('Pivot Table for Data Exchange'!$D$219)*100</f>
        <v>0</v>
      </c>
      <c r="Q78" s="383">
        <f t="shared" si="14"/>
        <v>0</v>
      </c>
      <c r="R78" s="383">
        <f t="shared" si="15"/>
        <v>0</v>
      </c>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row>
    <row r="79" spans="1:41" ht="15.75" customHeight="1">
      <c r="A79" s="349" t="s">
        <v>891</v>
      </c>
      <c r="B79" s="378">
        <f>('Pivot Table for Data Exchange'!$D$222)*100</f>
        <v>89.944207906532498</v>
      </c>
      <c r="C79" s="378">
        <f>('Pivot Table for Data Exchange'!$D$225)*100</f>
        <v>0</v>
      </c>
      <c r="D79" s="379">
        <f t="shared" si="16"/>
        <v>10.055792093467476</v>
      </c>
      <c r="E79" s="378">
        <f>('Pivot Table for Data Exchange'!$D$228)*100</f>
        <v>10.055792093467476</v>
      </c>
      <c r="F79" s="378">
        <f>('Pivot Table for Data Exchange'!$D$231)*100</f>
        <v>0</v>
      </c>
      <c r="G79" s="386">
        <f>('Pivot Table for Data Exchange'!$D$234)*100</f>
        <v>0</v>
      </c>
      <c r="H79" s="378">
        <f>('Pivot Table for Data Exchange'!$D$237)*100</f>
        <v>0</v>
      </c>
      <c r="I79" s="384" t="s">
        <v>891</v>
      </c>
      <c r="J79" s="378">
        <f>('Pivot Table for Data Exchange'!$D$240)*100</f>
        <v>85.071515494325141</v>
      </c>
      <c r="K79" s="378">
        <f>('Pivot Table for Data Exchange'!$D$243)*100</f>
        <v>0</v>
      </c>
      <c r="L79" s="379">
        <f t="shared" si="17"/>
        <v>14.928484505674867</v>
      </c>
      <c r="M79" s="378">
        <f>('Pivot Table for Data Exchange'!$D$246)*100</f>
        <v>14.928484505674867</v>
      </c>
      <c r="N79" s="378">
        <f>('Pivot Table for Data Exchange'!$D$249)*100</f>
        <v>0</v>
      </c>
      <c r="O79" s="386">
        <f>('Pivot Table for Data Exchange'!$D$252)*100</f>
        <v>0</v>
      </c>
      <c r="P79" s="378">
        <f>('Pivot Table for Data Exchange'!$D$255)*100</f>
        <v>0</v>
      </c>
      <c r="Q79" s="383">
        <f t="shared" si="14"/>
        <v>99.999999999999972</v>
      </c>
      <c r="R79" s="383">
        <f t="shared" si="15"/>
        <v>100</v>
      </c>
      <c r="S79" s="384"/>
      <c r="T79" s="358"/>
      <c r="U79" s="384"/>
      <c r="V79" s="384"/>
      <c r="W79" s="384"/>
      <c r="X79" s="384"/>
      <c r="Y79" s="384"/>
      <c r="Z79" s="384"/>
      <c r="AA79" s="384"/>
      <c r="AB79" s="384"/>
      <c r="AC79" s="384"/>
      <c r="AD79" s="384"/>
      <c r="AE79" s="384"/>
      <c r="AF79" s="384"/>
      <c r="AG79" s="384"/>
      <c r="AH79" s="384"/>
      <c r="AI79" s="384"/>
      <c r="AJ79" s="384"/>
      <c r="AK79" s="384"/>
      <c r="AL79" s="384"/>
      <c r="AM79" s="384"/>
      <c r="AN79" s="384"/>
      <c r="AO79" s="384"/>
    </row>
    <row r="80" spans="1:41" ht="15.75" customHeight="1">
      <c r="A80" s="349" t="s">
        <v>892</v>
      </c>
      <c r="B80" s="378">
        <f>('Pivot Table for Data Exchange'!$D$258)*100</f>
        <v>87.667822990803828</v>
      </c>
      <c r="C80" s="378">
        <f>('Pivot Table for Data Exchange'!$D$261)*100</f>
        <v>1.4668456247535675</v>
      </c>
      <c r="D80" s="379">
        <f t="shared" si="16"/>
        <v>10.865331384442594</v>
      </c>
      <c r="E80" s="378">
        <f>('Pivot Table for Data Exchange'!$D$264)*100</f>
        <v>10.865331384442594</v>
      </c>
      <c r="F80" s="378">
        <f>('Pivot Table for Data Exchange'!$D$267)*100</f>
        <v>0</v>
      </c>
      <c r="G80" s="386">
        <f>('Pivot Table for Data Exchange'!$D$270)*100</f>
        <v>0</v>
      </c>
      <c r="H80" s="378">
        <f>('Pivot Table for Data Exchange'!$D$273)*100</f>
        <v>0</v>
      </c>
      <c r="I80" s="384" t="s">
        <v>892</v>
      </c>
      <c r="J80" s="378">
        <f>('Pivot Table for Data Exchange'!$D$276)*100</f>
        <v>73.138311434447829</v>
      </c>
      <c r="K80" s="378">
        <f>('Pivot Table for Data Exchange'!$D$279)*100</f>
        <v>5.8625554554571568</v>
      </c>
      <c r="L80" s="379">
        <f t="shared" si="17"/>
        <v>20.999133110095016</v>
      </c>
      <c r="M80" s="378">
        <f>('Pivot Table for Data Exchange'!$D$282)*100</f>
        <v>20.999133110095016</v>
      </c>
      <c r="N80" s="378">
        <f>('Pivot Table for Data Exchange'!$D$285)*100</f>
        <v>0</v>
      </c>
      <c r="O80" s="386">
        <f>('Pivot Table for Data Exchange'!$D$288)*100</f>
        <v>0</v>
      </c>
      <c r="P80" s="378">
        <f>('Pivot Table for Data Exchange'!$D$291)*100</f>
        <v>0</v>
      </c>
      <c r="Q80" s="383">
        <f t="shared" si="14"/>
        <v>100</v>
      </c>
      <c r="R80" s="383">
        <f t="shared" si="15"/>
        <v>100</v>
      </c>
      <c r="S80" s="384"/>
      <c r="U80" s="384"/>
      <c r="V80" s="384"/>
      <c r="W80" s="384"/>
      <c r="X80" s="384"/>
      <c r="Y80" s="384"/>
      <c r="Z80" s="384"/>
      <c r="AA80" s="384"/>
      <c r="AB80" s="384"/>
      <c r="AC80" s="384"/>
      <c r="AD80" s="384"/>
      <c r="AE80" s="384"/>
      <c r="AF80" s="384"/>
      <c r="AG80" s="384"/>
      <c r="AH80" s="384"/>
      <c r="AI80" s="384"/>
      <c r="AJ80" s="384"/>
      <c r="AK80" s="384"/>
      <c r="AL80" s="384"/>
      <c r="AM80" s="384"/>
      <c r="AN80" s="384"/>
      <c r="AO80" s="384"/>
    </row>
    <row r="81" spans="1:41" ht="8.25" customHeight="1">
      <c r="B81" s="378"/>
      <c r="C81" s="378"/>
      <c r="D81" s="379"/>
      <c r="E81" s="378"/>
      <c r="F81" s="378"/>
      <c r="G81" s="386"/>
      <c r="H81" s="378"/>
      <c r="I81" s="384"/>
      <c r="J81" s="378"/>
      <c r="K81" s="378"/>
      <c r="L81" s="379"/>
      <c r="M81" s="378"/>
      <c r="N81" s="378"/>
      <c r="O81" s="386"/>
      <c r="P81" s="378"/>
      <c r="Q81" s="383">
        <f t="shared" si="14"/>
        <v>0</v>
      </c>
      <c r="R81" s="383">
        <f t="shared" si="15"/>
        <v>0</v>
      </c>
      <c r="S81" s="384"/>
      <c r="U81" s="384"/>
      <c r="V81" s="384"/>
      <c r="W81" s="384"/>
      <c r="X81" s="384"/>
      <c r="Y81" s="384"/>
      <c r="Z81" s="384"/>
      <c r="AA81" s="384"/>
      <c r="AB81" s="384"/>
      <c r="AC81" s="384"/>
      <c r="AD81" s="384"/>
      <c r="AE81" s="384"/>
      <c r="AF81" s="384"/>
      <c r="AG81" s="384"/>
      <c r="AH81" s="384"/>
      <c r="AI81" s="384"/>
      <c r="AJ81" s="384"/>
      <c r="AK81" s="384"/>
      <c r="AL81" s="384"/>
      <c r="AM81" s="384"/>
      <c r="AN81" s="384"/>
      <c r="AO81" s="384"/>
    </row>
    <row r="82" spans="1:41" ht="15.75" customHeight="1">
      <c r="A82" s="349" t="s">
        <v>893</v>
      </c>
      <c r="B82" s="378">
        <f>('Pivot Table for Data Exchange'!$D$294)*100</f>
        <v>81.548423199465645</v>
      </c>
      <c r="C82" s="378">
        <f>('Pivot Table for Data Exchange'!$D$297)*100</f>
        <v>6.2783996225498999</v>
      </c>
      <c r="D82" s="379">
        <f t="shared" ref="D82:D84" si="18">SUM(E82:G82)</f>
        <v>12.010237236714154</v>
      </c>
      <c r="E82" s="378">
        <f>('Pivot Table for Data Exchange'!$D$300)*100</f>
        <v>10.400588119922698</v>
      </c>
      <c r="F82" s="378">
        <f>('Pivot Table for Data Exchange'!$D$303)*100</f>
        <v>1.6096491167914548</v>
      </c>
      <c r="G82" s="386">
        <f>('Pivot Table for Data Exchange'!$D$306)*100</f>
        <v>0</v>
      </c>
      <c r="H82" s="378">
        <f>('Pivot Table for Data Exchange'!$D$309)*100</f>
        <v>0.16293994127030062</v>
      </c>
      <c r="I82" s="384" t="s">
        <v>893</v>
      </c>
      <c r="J82" s="378">
        <f>('Pivot Table for Data Exchange'!$D$312)*100</f>
        <v>70.260163416712615</v>
      </c>
      <c r="K82" s="378">
        <f>('Pivot Table for Data Exchange'!$D$315)*100</f>
        <v>9.2355506541681294</v>
      </c>
      <c r="L82" s="379">
        <f t="shared" ref="L82:L84" si="19">SUM(M82:O82)</f>
        <v>20.483232242217653</v>
      </c>
      <c r="M82" s="378">
        <f>('Pivot Table for Data Exchange'!$D$318)*100</f>
        <v>19.710261165973229</v>
      </c>
      <c r="N82" s="378">
        <f>('Pivot Table for Data Exchange'!$D$321)*100</f>
        <v>0.77297107624442329</v>
      </c>
      <c r="O82" s="386">
        <f>('Pivot Table for Data Exchange'!$D$324)*100</f>
        <v>0</v>
      </c>
      <c r="P82" s="387">
        <f>('Pivot Table for Data Exchange'!$D$327)*100</f>
        <v>2.1053686901599079E-2</v>
      </c>
      <c r="Q82" s="383">
        <f t="shared" si="14"/>
        <v>99.999999999999986</v>
      </c>
      <c r="R82" s="383">
        <f t="shared" si="15"/>
        <v>100</v>
      </c>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row>
    <row r="83" spans="1:41" ht="15.75" customHeight="1">
      <c r="A83" s="349" t="s">
        <v>894</v>
      </c>
      <c r="B83" s="378">
        <f>('Pivot Table for Data Exchange'!$D$330)*100</f>
        <v>78.964059861446984</v>
      </c>
      <c r="C83" s="378">
        <f>('Pivot Table for Data Exchange'!$D$333)*100</f>
        <v>0.44213697441203015</v>
      </c>
      <c r="D83" s="379">
        <f t="shared" si="18"/>
        <v>20.593803164140994</v>
      </c>
      <c r="E83" s="378">
        <f>('Pivot Table for Data Exchange'!$D$336)*100</f>
        <v>20.591444680991568</v>
      </c>
      <c r="F83" s="390">
        <f>('Pivot Table for Data Exchange'!$D$339)*100</f>
        <v>2.3584831494240584E-3</v>
      </c>
      <c r="G83" s="386">
        <f>('Pivot Table for Data Exchange'!$D$342)*100</f>
        <v>0</v>
      </c>
      <c r="H83" s="378">
        <f>('Pivot Table for Data Exchange'!$D$345)*100</f>
        <v>0</v>
      </c>
      <c r="I83" s="384" t="s">
        <v>894</v>
      </c>
      <c r="J83" s="378">
        <f>('Pivot Table for Data Exchange'!$D$348)*100</f>
        <v>42.564528320590824</v>
      </c>
      <c r="K83" s="378">
        <f>('Pivot Table for Data Exchange'!$D$351)*100</f>
        <v>5.3506152340119701</v>
      </c>
      <c r="L83" s="379">
        <f t="shared" si="19"/>
        <v>52.084856445397214</v>
      </c>
      <c r="M83" s="378">
        <f>('Pivot Table for Data Exchange'!$D$354)*100</f>
        <v>52.082378161361078</v>
      </c>
      <c r="N83" s="390">
        <f>('Pivot Table for Data Exchange'!$D$357)*100</f>
        <v>2.4782840361333813E-3</v>
      </c>
      <c r="O83" s="386">
        <f>('Pivot Table for Data Exchange'!$D$360)*100</f>
        <v>0</v>
      </c>
      <c r="P83" s="378">
        <f>('Pivot Table for Data Exchange'!$D$363)*100</f>
        <v>0</v>
      </c>
      <c r="Q83" s="383">
        <f t="shared" si="14"/>
        <v>100.00000000000001</v>
      </c>
      <c r="R83" s="383">
        <f t="shared" si="15"/>
        <v>100</v>
      </c>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row>
    <row r="84" spans="1:41" ht="15.75" customHeight="1">
      <c r="A84" s="349" t="s">
        <v>895</v>
      </c>
      <c r="B84" s="378">
        <f>('Pivot Table for Data Exchange'!$D$366)*100</f>
        <v>0</v>
      </c>
      <c r="C84" s="378">
        <f>('Pivot Table for Data Exchange'!$D$369)*100</f>
        <v>0</v>
      </c>
      <c r="D84" s="379">
        <f t="shared" si="18"/>
        <v>0</v>
      </c>
      <c r="E84" s="378">
        <f>('Pivot Table for Data Exchange'!$D$372)*100</f>
        <v>0</v>
      </c>
      <c r="F84" s="378">
        <f>('Pivot Table for Data Exchange'!$D$375)*100</f>
        <v>0</v>
      </c>
      <c r="G84" s="386">
        <f>('Pivot Table for Data Exchange'!$D$378)*100</f>
        <v>0</v>
      </c>
      <c r="H84" s="378">
        <f>('Pivot Table for Data Exchange'!$D$381)*100</f>
        <v>0</v>
      </c>
      <c r="I84" s="384" t="s">
        <v>895</v>
      </c>
      <c r="J84" s="378">
        <f>('Pivot Table for Data Exchange'!$D$384)*100</f>
        <v>0</v>
      </c>
      <c r="K84" s="378">
        <f>('Pivot Table for Data Exchange'!$D$387)*100</f>
        <v>0</v>
      </c>
      <c r="L84" s="379">
        <f t="shared" si="19"/>
        <v>0</v>
      </c>
      <c r="M84" s="378">
        <f>('Pivot Table for Data Exchange'!$D$390)*100</f>
        <v>0</v>
      </c>
      <c r="N84" s="378">
        <f>('Pivot Table for Data Exchange'!$D$393)*100</f>
        <v>0</v>
      </c>
      <c r="O84" s="386">
        <f>('Pivot Table for Data Exchange'!$D$396)*100</f>
        <v>0</v>
      </c>
      <c r="P84" s="378">
        <f>('Pivot Table for Data Exchange'!$D$399)*100</f>
        <v>0</v>
      </c>
      <c r="Q84" s="383">
        <f t="shared" si="14"/>
        <v>0</v>
      </c>
      <c r="R84" s="383">
        <f t="shared" si="15"/>
        <v>0</v>
      </c>
      <c r="S84" s="384"/>
      <c r="T84" s="358"/>
      <c r="U84" s="384"/>
      <c r="V84" s="384"/>
      <c r="W84" s="384"/>
      <c r="X84" s="384"/>
      <c r="Y84" s="384"/>
      <c r="Z84" s="384"/>
      <c r="AA84" s="384"/>
      <c r="AB84" s="384"/>
      <c r="AC84" s="384"/>
      <c r="AD84" s="384"/>
      <c r="AE84" s="384"/>
      <c r="AF84" s="384"/>
      <c r="AG84" s="384"/>
      <c r="AH84" s="384"/>
      <c r="AI84" s="384"/>
      <c r="AJ84" s="384"/>
      <c r="AK84" s="384"/>
      <c r="AL84" s="384"/>
      <c r="AM84" s="384"/>
      <c r="AN84" s="384"/>
      <c r="AO84" s="384"/>
    </row>
    <row r="85" spans="1:41" ht="15.75" customHeight="1">
      <c r="A85" s="349" t="s">
        <v>896</v>
      </c>
      <c r="B85" s="378">
        <f>('Pivot Table for Data Exchange'!$D$402)*100</f>
        <v>0</v>
      </c>
      <c r="C85" s="378">
        <f>('Pivot Table for Data Exchange'!$D$405)*100</f>
        <v>0</v>
      </c>
      <c r="D85" s="379">
        <f>SUM(E85:G85)</f>
        <v>0</v>
      </c>
      <c r="E85" s="378">
        <f>('Pivot Table for Data Exchange'!$D$408)*100</f>
        <v>0</v>
      </c>
      <c r="F85" s="378">
        <f>('Pivot Table for Data Exchange'!$D$411)*100</f>
        <v>0</v>
      </c>
      <c r="G85" s="386">
        <f>('Pivot Table for Data Exchange'!$D$414)*100</f>
        <v>0</v>
      </c>
      <c r="H85" s="378">
        <f>('Pivot Table for Data Exchange'!$D$417)*100</f>
        <v>0</v>
      </c>
      <c r="I85" s="384" t="s">
        <v>896</v>
      </c>
      <c r="J85" s="378">
        <f>('Pivot Table for Data Exchange'!$D$420)*100</f>
        <v>0</v>
      </c>
      <c r="K85" s="378">
        <f>('Pivot Table for Data Exchange'!$D$423)*100</f>
        <v>0</v>
      </c>
      <c r="L85" s="379">
        <f>SUM(M85:O85)</f>
        <v>0</v>
      </c>
      <c r="M85" s="378">
        <f>('Pivot Table for Data Exchange'!$D$426)*100</f>
        <v>0</v>
      </c>
      <c r="N85" s="378">
        <f>('Pivot Table for Data Exchange'!$D$429)*100</f>
        <v>0</v>
      </c>
      <c r="O85" s="386">
        <f>('Pivot Table for Data Exchange'!$D$432)*100</f>
        <v>0</v>
      </c>
      <c r="P85" s="378">
        <f>('Pivot Table for Data Exchange'!$D$435)*100</f>
        <v>0</v>
      </c>
      <c r="Q85" s="383">
        <f t="shared" si="14"/>
        <v>0</v>
      </c>
      <c r="R85" s="383">
        <f t="shared" si="15"/>
        <v>0</v>
      </c>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row>
    <row r="86" spans="1:41" ht="8.25" customHeight="1">
      <c r="B86" s="378"/>
      <c r="C86" s="378"/>
      <c r="D86" s="379"/>
      <c r="E86" s="378"/>
      <c r="F86" s="378"/>
      <c r="G86" s="386"/>
      <c r="H86" s="378"/>
      <c r="I86" s="384"/>
      <c r="J86" s="378"/>
      <c r="K86" s="378"/>
      <c r="L86" s="379"/>
      <c r="M86" s="378"/>
      <c r="N86" s="378"/>
      <c r="O86" s="386"/>
      <c r="P86" s="378"/>
      <c r="Q86" s="383">
        <f t="shared" si="14"/>
        <v>0</v>
      </c>
      <c r="R86" s="383">
        <f t="shared" si="15"/>
        <v>0</v>
      </c>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row>
    <row r="87" spans="1:41" ht="15.75" customHeight="1">
      <c r="A87" s="349" t="s">
        <v>897</v>
      </c>
      <c r="B87" s="378">
        <f>('Pivot Table for Data Exchange'!$D$438)*100</f>
        <v>76.85199984017261</v>
      </c>
      <c r="C87" s="378">
        <f>('Pivot Table for Data Exchange'!$D$441)*100</f>
        <v>2.9369281176329562</v>
      </c>
      <c r="D87" s="379">
        <f>SUM(E87:G87)</f>
        <v>19.602828944739681</v>
      </c>
      <c r="E87" s="378">
        <f>('Pivot Table for Data Exchange'!$D$444)*100</f>
        <v>15.275302673113039</v>
      </c>
      <c r="F87" s="378">
        <f>('Pivot Table for Data Exchange'!$D$447)*100</f>
        <v>0.70014384464778034</v>
      </c>
      <c r="G87" s="386">
        <f>('Pivot Table for Data Exchange'!$D$450)*100</f>
        <v>3.6273824269788624</v>
      </c>
      <c r="H87" s="378">
        <f>('Pivot Table for Data Exchange'!$D$453)*100</f>
        <v>0.6082430974547488</v>
      </c>
      <c r="I87" s="384" t="s">
        <v>897</v>
      </c>
      <c r="J87" s="378">
        <f>('Pivot Table for Data Exchange'!$D$456)*100</f>
        <v>51.44658717782319</v>
      </c>
      <c r="K87" s="378">
        <f>('Pivot Table for Data Exchange'!$D$459)*100</f>
        <v>6.5612196468525719</v>
      </c>
      <c r="L87" s="379">
        <f>SUM(M87:O87)</f>
        <v>37.214145268928647</v>
      </c>
      <c r="M87" s="378">
        <f>('Pivot Table for Data Exchange'!$D$462)*100</f>
        <v>34.43429578760788</v>
      </c>
      <c r="N87" s="378">
        <f>('Pivot Table for Data Exchange'!$D$465)*100</f>
        <v>0.24989587671803418</v>
      </c>
      <c r="O87" s="386">
        <f>('Pivot Table for Data Exchange'!$D$468)*100</f>
        <v>2.5299536046027331</v>
      </c>
      <c r="P87" s="378">
        <f>('Pivot Table for Data Exchange'!$D$471)*100</f>
        <v>4.7780479063955914</v>
      </c>
      <c r="Q87" s="383">
        <f t="shared" si="14"/>
        <v>100</v>
      </c>
      <c r="R87" s="383">
        <f t="shared" si="15"/>
        <v>100</v>
      </c>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row>
    <row r="88" spans="1:41" ht="15.75" customHeight="1">
      <c r="A88" s="349" t="s">
        <v>898</v>
      </c>
      <c r="B88" s="378">
        <f>('Pivot Table for Data Exchange'!$D$474)*100</f>
        <v>84.479127733243317</v>
      </c>
      <c r="C88" s="378">
        <f>('Pivot Table for Data Exchange'!$D$477)*100</f>
        <v>2.0159999600656171</v>
      </c>
      <c r="D88" s="379">
        <f>SUM(E88:G88)</f>
        <v>13.504872306691068</v>
      </c>
      <c r="E88" s="378">
        <f>('Pivot Table for Data Exchange'!$D$480)*100</f>
        <v>13.417453446805219</v>
      </c>
      <c r="F88" s="378">
        <f>('Pivot Table for Data Exchange'!$D$483)*100</f>
        <v>3.2945865824217581E-2</v>
      </c>
      <c r="G88" s="385">
        <f>('Pivot Table for Data Exchange'!$D$486)*100</f>
        <v>5.4472994061632481E-2</v>
      </c>
      <c r="H88" s="378">
        <f>('Pivot Table for Data Exchange'!$D$489)*100</f>
        <v>0</v>
      </c>
      <c r="I88" s="384" t="s">
        <v>898</v>
      </c>
      <c r="J88" s="378">
        <f>('Pivot Table for Data Exchange'!$D$492)*100</f>
        <v>61.022301340943045</v>
      </c>
      <c r="K88" s="378">
        <f>('Pivot Table for Data Exchange'!$D$495)*100</f>
        <v>4.197268018642597</v>
      </c>
      <c r="L88" s="379">
        <f>SUM(M88:O88)</f>
        <v>34.780430640414359</v>
      </c>
      <c r="M88" s="378">
        <f>('Pivot Table for Data Exchange'!$D$498)*100</f>
        <v>33.619293835598057</v>
      </c>
      <c r="N88" s="378">
        <f>('Pivot Table for Data Exchange'!$D$501)*100</f>
        <v>0.99922173419091675</v>
      </c>
      <c r="O88" s="385">
        <f>('Pivot Table for Data Exchange'!$D$504)*100</f>
        <v>0.16191507062538579</v>
      </c>
      <c r="P88" s="378">
        <f>('Pivot Table for Data Exchange'!$D$507)*100</f>
        <v>0</v>
      </c>
      <c r="Q88" s="383">
        <f t="shared" si="14"/>
        <v>100</v>
      </c>
      <c r="R88" s="383">
        <f t="shared" si="15"/>
        <v>100</v>
      </c>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row>
    <row r="89" spans="1:41" ht="15.75" customHeight="1">
      <c r="A89" s="349" t="s">
        <v>899</v>
      </c>
      <c r="B89" s="378">
        <f>('Pivot Table for Data Exchange'!$D$510)*100</f>
        <v>97.344116554949565</v>
      </c>
      <c r="C89" s="378">
        <f>('Pivot Table for Data Exchange'!$D$513)*100</f>
        <v>2.4138833978309071</v>
      </c>
      <c r="D89" s="379">
        <f t="shared" ref="D89" si="20">SUM(E89:G89)</f>
        <v>0.2420000472195214</v>
      </c>
      <c r="E89" s="378">
        <f>('Pivot Table for Data Exchange'!$D$516)*100</f>
        <v>0.21248784633909196</v>
      </c>
      <c r="F89" s="390">
        <f>('Pivot Table for Data Exchange'!$D$519)*100</f>
        <v>2.951220088042944E-2</v>
      </c>
      <c r="G89" s="386">
        <f>('Pivot Table for Data Exchange'!$D$522)*100</f>
        <v>0</v>
      </c>
      <c r="H89" s="378">
        <f>('Pivot Table for Data Exchange'!$D$525)*100</f>
        <v>0</v>
      </c>
      <c r="I89" s="384" t="s">
        <v>899</v>
      </c>
      <c r="J89" s="378">
        <f>('Pivot Table for Data Exchange'!$D$528)*100</f>
        <v>86.807558772217703</v>
      </c>
      <c r="K89" s="378">
        <f>('Pivot Table for Data Exchange'!$D$531)*100</f>
        <v>9.0330437185842847</v>
      </c>
      <c r="L89" s="379">
        <f t="shared" ref="L89" si="21">SUM(M89:O89)</f>
        <v>4.1593975091980031</v>
      </c>
      <c r="M89" s="378">
        <f>('Pivot Table for Data Exchange'!$D$534)*100</f>
        <v>4.1593975091980031</v>
      </c>
      <c r="N89" s="390">
        <f>('Pivot Table for Data Exchange'!$D$537)*100</f>
        <v>0</v>
      </c>
      <c r="O89" s="386">
        <f>('Pivot Table for Data Exchange'!$D$540)*100</f>
        <v>0</v>
      </c>
      <c r="P89" s="378">
        <f>('Pivot Table for Data Exchange'!$D$543)*100</f>
        <v>0</v>
      </c>
      <c r="Q89" s="383">
        <f t="shared" si="14"/>
        <v>99.999999999999986</v>
      </c>
      <c r="R89" s="383">
        <f t="shared" si="15"/>
        <v>99.999999999999986</v>
      </c>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row>
    <row r="90" spans="1:41" ht="15.75" customHeight="1">
      <c r="A90" s="355" t="s">
        <v>900</v>
      </c>
      <c r="B90" s="391">
        <f>('Pivot Table for Data Exchange'!$D$546)*100</f>
        <v>0</v>
      </c>
      <c r="C90" s="391">
        <f>('Pivot Table for Data Exchange'!$D$549)*100</f>
        <v>0</v>
      </c>
      <c r="D90" s="392">
        <f>SUM(E90:G90)</f>
        <v>0</v>
      </c>
      <c r="E90" s="391">
        <f>('Pivot Table for Data Exchange'!$D$552)*100</f>
        <v>0</v>
      </c>
      <c r="F90" s="391">
        <f>('Pivot Table for Data Exchange'!$D$555)*100</f>
        <v>0</v>
      </c>
      <c r="G90" s="393">
        <f>('Pivot Table for Data Exchange'!$D$558)*100</f>
        <v>0</v>
      </c>
      <c r="H90" s="391">
        <f>('Pivot Table for Data Exchange'!$D$561)*100</f>
        <v>0</v>
      </c>
      <c r="I90" s="394" t="s">
        <v>900</v>
      </c>
      <c r="J90" s="391">
        <f>('Pivot Table for Data Exchange'!$D$564)*100</f>
        <v>0</v>
      </c>
      <c r="K90" s="391">
        <f>('Pivot Table for Data Exchange'!$D$567)*100</f>
        <v>0</v>
      </c>
      <c r="L90" s="392">
        <f>SUM(M90:O90)</f>
        <v>0</v>
      </c>
      <c r="M90" s="391">
        <f>('Pivot Table for Data Exchange'!$D$570)*100</f>
        <v>0</v>
      </c>
      <c r="N90" s="391">
        <f>('Pivot Table for Data Exchange'!$D$573)*100</f>
        <v>0</v>
      </c>
      <c r="O90" s="393">
        <f>('Pivot Table for Data Exchange'!$D$576)*100</f>
        <v>0</v>
      </c>
      <c r="P90" s="391">
        <f>('Pivot Table for Data Exchange'!$D$579)*100</f>
        <v>0</v>
      </c>
      <c r="Q90" s="383">
        <f t="shared" si="14"/>
        <v>0</v>
      </c>
      <c r="R90" s="383">
        <f t="shared" si="15"/>
        <v>0</v>
      </c>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row>
    <row r="91" spans="1:41" s="396" customFormat="1" ht="11.25" customHeight="1">
      <c r="A91" s="397" t="s">
        <v>926</v>
      </c>
      <c r="B91" s="398"/>
      <c r="C91" s="398"/>
      <c r="D91" s="399"/>
      <c r="E91" s="398"/>
      <c r="F91" s="399"/>
      <c r="G91" s="399"/>
      <c r="H91" s="398"/>
      <c r="I91" s="397" t="s">
        <v>926</v>
      </c>
      <c r="J91" s="398"/>
      <c r="K91" s="398"/>
      <c r="L91" s="399"/>
      <c r="M91" s="398"/>
      <c r="N91" s="399"/>
      <c r="O91" s="399"/>
      <c r="P91" s="398"/>
      <c r="Q91" s="383"/>
      <c r="R91" s="383"/>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row>
    <row r="92" spans="1:41" s="396" customFormat="1" ht="10.5" customHeight="1">
      <c r="A92" s="401"/>
      <c r="B92" s="410"/>
      <c r="C92" s="410"/>
      <c r="D92" s="351"/>
      <c r="E92" s="410"/>
      <c r="F92" s="410"/>
      <c r="G92" s="410"/>
      <c r="H92" s="410"/>
      <c r="I92" s="401"/>
      <c r="J92" s="410"/>
      <c r="K92" s="410"/>
      <c r="L92" s="351"/>
      <c r="M92" s="410"/>
      <c r="N92" s="410"/>
      <c r="O92" s="410"/>
      <c r="P92" s="410"/>
      <c r="Q92" s="383"/>
      <c r="R92" s="383"/>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0"/>
    </row>
    <row r="93" spans="1:41" s="396" customFormat="1" ht="13.5" customHeight="1">
      <c r="A93" s="407"/>
      <c r="B93" s="408"/>
      <c r="H93" s="402" t="s">
        <v>1007</v>
      </c>
      <c r="I93" s="407"/>
      <c r="P93" s="402" t="s">
        <v>1007</v>
      </c>
      <c r="Q93" s="383"/>
      <c r="R93" s="383"/>
    </row>
    <row r="94" spans="1:41" ht="18">
      <c r="A94" s="344" t="s">
        <v>930</v>
      </c>
      <c r="B94" s="345"/>
      <c r="C94" s="345"/>
      <c r="D94" s="345"/>
      <c r="E94" s="345"/>
      <c r="F94" s="345"/>
      <c r="G94" s="345"/>
      <c r="H94" s="345"/>
      <c r="I94" s="344" t="s">
        <v>931</v>
      </c>
      <c r="J94" s="346"/>
      <c r="K94" s="346"/>
      <c r="L94" s="345"/>
      <c r="M94" s="346"/>
      <c r="N94" s="346"/>
      <c r="O94" s="346"/>
      <c r="P94" s="346"/>
      <c r="Q94" s="383"/>
      <c r="R94" s="383"/>
    </row>
    <row r="95" spans="1:41">
      <c r="A95" s="350"/>
      <c r="B95" s="346"/>
      <c r="C95" s="346"/>
      <c r="D95" s="346"/>
      <c r="E95" s="346"/>
      <c r="F95" s="346"/>
      <c r="G95" s="346"/>
      <c r="H95" s="346"/>
      <c r="I95" s="350"/>
      <c r="J95" s="346"/>
      <c r="K95" s="346"/>
      <c r="L95" s="346"/>
      <c r="M95" s="346"/>
      <c r="N95" s="346"/>
      <c r="O95" s="346"/>
      <c r="P95" s="346"/>
      <c r="Q95" s="383"/>
      <c r="R95" s="383"/>
    </row>
    <row r="96" spans="1:41" ht="15.75">
      <c r="A96" s="352" t="s">
        <v>906</v>
      </c>
      <c r="B96" s="346"/>
      <c r="C96" s="346"/>
      <c r="D96" s="346"/>
      <c r="E96" s="346"/>
      <c r="F96" s="346"/>
      <c r="G96" s="346"/>
      <c r="H96" s="346"/>
      <c r="I96" s="352" t="s">
        <v>907</v>
      </c>
      <c r="J96" s="346"/>
      <c r="K96" s="346"/>
      <c r="L96" s="346"/>
      <c r="M96" s="346"/>
      <c r="N96" s="346"/>
      <c r="O96" s="346"/>
      <c r="P96" s="346"/>
      <c r="Q96" s="383"/>
      <c r="R96" s="383"/>
    </row>
    <row r="97" spans="1:41" ht="15.75">
      <c r="A97" s="352" t="s">
        <v>953</v>
      </c>
      <c r="B97" s="346"/>
      <c r="C97" s="346"/>
      <c r="D97" s="346"/>
      <c r="E97" s="346"/>
      <c r="F97" s="346"/>
      <c r="G97" s="346"/>
      <c r="H97" s="346"/>
      <c r="I97" s="352" t="s">
        <v>953</v>
      </c>
      <c r="J97" s="346"/>
      <c r="K97" s="346"/>
      <c r="L97" s="346"/>
      <c r="M97" s="346"/>
      <c r="N97" s="346"/>
      <c r="O97" s="346"/>
      <c r="P97" s="346"/>
      <c r="Q97" s="383"/>
      <c r="R97" s="383"/>
    </row>
    <row r="98" spans="1:41">
      <c r="A98" s="355"/>
      <c r="B98" s="356"/>
      <c r="C98" s="356"/>
      <c r="D98" s="356"/>
      <c r="E98" s="356"/>
      <c r="F98" s="356"/>
      <c r="G98" s="356"/>
      <c r="H98" s="356"/>
      <c r="I98" s="357"/>
      <c r="L98" s="358"/>
      <c r="P98" s="355"/>
      <c r="Q98" s="383"/>
      <c r="R98" s="383"/>
    </row>
    <row r="99" spans="1:41" s="365" customFormat="1">
      <c r="A99" s="360"/>
      <c r="B99" s="504" t="s">
        <v>908</v>
      </c>
      <c r="C99" s="504"/>
      <c r="D99" s="504"/>
      <c r="E99" s="504"/>
      <c r="F99" s="504"/>
      <c r="G99" s="504"/>
      <c r="H99" s="504"/>
      <c r="I99" s="360"/>
      <c r="J99" s="361" t="s">
        <v>908</v>
      </c>
      <c r="K99" s="361"/>
      <c r="L99" s="361"/>
      <c r="M99" s="361"/>
      <c r="N99" s="361"/>
      <c r="O99" s="361"/>
      <c r="P99" s="362"/>
      <c r="Q99" s="383"/>
      <c r="R99" s="383"/>
    </row>
    <row r="100" spans="1:41" s="365" customFormat="1">
      <c r="A100" s="360"/>
      <c r="B100" s="361" t="s">
        <v>909</v>
      </c>
      <c r="C100" s="361"/>
      <c r="D100" s="506" t="s">
        <v>910</v>
      </c>
      <c r="E100" s="504"/>
      <c r="F100" s="504"/>
      <c r="G100" s="504"/>
      <c r="H100" s="368" t="s">
        <v>800</v>
      </c>
      <c r="I100" s="360"/>
      <c r="J100" s="361" t="s">
        <v>909</v>
      </c>
      <c r="K100" s="361"/>
      <c r="L100" s="506" t="s">
        <v>910</v>
      </c>
      <c r="M100" s="504"/>
      <c r="N100" s="504"/>
      <c r="O100" s="504"/>
      <c r="P100" s="368" t="s">
        <v>800</v>
      </c>
      <c r="Q100" s="383"/>
      <c r="R100" s="383"/>
    </row>
    <row r="101" spans="1:41" s="365" customFormat="1" ht="40.5" customHeight="1">
      <c r="A101" s="360"/>
      <c r="B101" s="369" t="s">
        <v>911</v>
      </c>
      <c r="C101" s="370" t="s">
        <v>912</v>
      </c>
      <c r="D101" s="371" t="s">
        <v>913</v>
      </c>
      <c r="E101" s="372" t="s">
        <v>10</v>
      </c>
      <c r="F101" s="369" t="s">
        <v>914</v>
      </c>
      <c r="G101" s="373" t="s">
        <v>924</v>
      </c>
      <c r="H101" s="374" t="s">
        <v>916</v>
      </c>
      <c r="I101" s="360"/>
      <c r="J101" s="369" t="s">
        <v>911</v>
      </c>
      <c r="K101" s="370" t="s">
        <v>912</v>
      </c>
      <c r="L101" s="371" t="s">
        <v>913</v>
      </c>
      <c r="M101" s="372" t="s">
        <v>10</v>
      </c>
      <c r="N101" s="369" t="s">
        <v>914</v>
      </c>
      <c r="O101" s="373" t="s">
        <v>924</v>
      </c>
      <c r="P101" s="374" t="s">
        <v>916</v>
      </c>
      <c r="Q101" s="383"/>
      <c r="R101" s="383"/>
      <c r="T101" s="403"/>
    </row>
    <row r="102" spans="1:41" ht="15.75" customHeight="1">
      <c r="A102" s="404" t="s">
        <v>885</v>
      </c>
      <c r="B102" s="378">
        <f>('Pivot Table for Data Exchange'!$E$6)*100</f>
        <v>82.067571023892597</v>
      </c>
      <c r="C102" s="378">
        <f>('Pivot Table for Data Exchange'!$E$9)*100</f>
        <v>0.37834368470072721</v>
      </c>
      <c r="D102" s="379">
        <f>SUM(E102:G102)</f>
        <v>17.554085291406675</v>
      </c>
      <c r="E102" s="378">
        <f>('Pivot Table for Data Exchange'!$E$12)*100</f>
        <v>17.397728972729336</v>
      </c>
      <c r="F102" s="378">
        <f>('Pivot Table for Data Exchange'!$E$15)*100</f>
        <v>0.11900453143775427</v>
      </c>
      <c r="G102" s="411">
        <f>('Pivot Table for Data Exchange'!$E$18)*100</f>
        <v>3.7351787239587105E-2</v>
      </c>
      <c r="H102" s="378">
        <f>('Pivot Table for Data Exchange'!$E$21)*100</f>
        <v>0</v>
      </c>
      <c r="I102" s="381" t="s">
        <v>885</v>
      </c>
      <c r="J102" s="378">
        <f>('Pivot Table for Data Exchange'!$E$24)*100</f>
        <v>62.063162249320712</v>
      </c>
      <c r="K102" s="378">
        <f>('Pivot Table for Data Exchange'!$E$27)*100</f>
        <v>1.9744079126747586E-2</v>
      </c>
      <c r="L102" s="379">
        <f>SUM(M102:O102)</f>
        <v>37.917093671552543</v>
      </c>
      <c r="M102" s="378">
        <f>('Pivot Table for Data Exchange'!$E$30)*100</f>
        <v>37.451697520707775</v>
      </c>
      <c r="N102" s="390">
        <f>('Pivot Table for Data Exchange'!$E$33)*100</f>
        <v>0</v>
      </c>
      <c r="O102" s="382">
        <f>('Pivot Table for Data Exchange'!$E$36)*100</f>
        <v>0.46539615084476449</v>
      </c>
      <c r="P102" s="378">
        <f>('Pivot Table for Data Exchange'!$E$39)*100</f>
        <v>0</v>
      </c>
      <c r="Q102" s="383">
        <f>SUM(B102,C102,D102,H102)</f>
        <v>100</v>
      </c>
      <c r="R102" s="383">
        <f t="shared" si="15"/>
        <v>100</v>
      </c>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row>
    <row r="103" spans="1:41" ht="15.75" customHeight="1">
      <c r="A103" s="349" t="s">
        <v>886</v>
      </c>
      <c r="B103" s="378">
        <f>('Pivot Table for Data Exchange'!$E$42)*100</f>
        <v>74.938177393511708</v>
      </c>
      <c r="C103" s="378">
        <f>('Pivot Table for Data Exchange'!$E$45)*100</f>
        <v>3.8823023446698817</v>
      </c>
      <c r="D103" s="379">
        <f t="shared" ref="D103:D105" si="22">SUM(E103:G103)</f>
        <v>21.179389142822679</v>
      </c>
      <c r="E103" s="378">
        <f>('Pivot Table for Data Exchange'!$E$48)*100</f>
        <v>20.710245376088615</v>
      </c>
      <c r="F103" s="378">
        <f>('Pivot Table for Data Exchange'!$E$51)*100</f>
        <v>0.32950203627800373</v>
      </c>
      <c r="G103" s="386">
        <f>('Pivot Table for Data Exchange'!$E$54)*100</f>
        <v>0.13964173045605807</v>
      </c>
      <c r="H103" s="390">
        <f>('Pivot Table for Data Exchange'!$E$57)*100</f>
        <v>1.3111899573338786E-4</v>
      </c>
      <c r="I103" s="384" t="s">
        <v>886</v>
      </c>
      <c r="J103" s="378">
        <f>('Pivot Table for Data Exchange'!$E$60)*100</f>
        <v>32.964903813004206</v>
      </c>
      <c r="K103" s="378">
        <f>('Pivot Table for Data Exchange'!$E$63)*100</f>
        <v>1.1376956491760326</v>
      </c>
      <c r="L103" s="379">
        <f t="shared" ref="L103:L105" si="23">SUM(M103:O103)</f>
        <v>65.897400537819763</v>
      </c>
      <c r="M103" s="378">
        <f>('Pivot Table for Data Exchange'!$E$66)*100</f>
        <v>62.236778597531547</v>
      </c>
      <c r="N103" s="378">
        <f>('Pivot Table for Data Exchange'!$E$69)*100</f>
        <v>3.4303247603944014</v>
      </c>
      <c r="O103" s="386">
        <f>('Pivot Table for Data Exchange'!$E$72)*100</f>
        <v>0.2302971798938151</v>
      </c>
      <c r="P103" s="378">
        <f>('Pivot Table for Data Exchange'!$E$75)*100</f>
        <v>0</v>
      </c>
      <c r="Q103" s="383">
        <f t="shared" si="14"/>
        <v>100</v>
      </c>
      <c r="R103" s="383">
        <f t="shared" si="15"/>
        <v>100</v>
      </c>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row>
    <row r="104" spans="1:41" ht="15.75" customHeight="1">
      <c r="A104" s="349" t="s">
        <v>887</v>
      </c>
      <c r="B104" s="378">
        <f>('Pivot Table for Data Exchange'!$E$78)*100</f>
        <v>95.960528684002526</v>
      </c>
      <c r="C104" s="378">
        <f>('Pivot Table for Data Exchange'!$E$81)*100</f>
        <v>0</v>
      </c>
      <c r="D104" s="379">
        <f t="shared" si="22"/>
        <v>4.0394713159974645</v>
      </c>
      <c r="E104" s="378">
        <f>('Pivot Table for Data Exchange'!$E$84)*100</f>
        <v>4.0394713159974645</v>
      </c>
      <c r="F104" s="378">
        <f>('Pivot Table for Data Exchange'!$E$87)*100</f>
        <v>0</v>
      </c>
      <c r="G104" s="386">
        <f>('Pivot Table for Data Exchange'!$E$90)*100</f>
        <v>0</v>
      </c>
      <c r="H104" s="378">
        <f>('Pivot Table for Data Exchange'!$E$93)*100</f>
        <v>0</v>
      </c>
      <c r="I104" s="384" t="s">
        <v>887</v>
      </c>
      <c r="J104" s="378">
        <f>('Pivot Table for Data Exchange'!$E$96)*100</f>
        <v>94.63065408395704</v>
      </c>
      <c r="K104" s="378">
        <f>('Pivot Table for Data Exchange'!$E$99)*100</f>
        <v>0</v>
      </c>
      <c r="L104" s="379">
        <f t="shared" si="23"/>
        <v>5.3693459160429553</v>
      </c>
      <c r="M104" s="378">
        <f>('Pivot Table for Data Exchange'!$E$102)*100</f>
        <v>5.3693459160429553</v>
      </c>
      <c r="N104" s="378">
        <f>('Pivot Table for Data Exchange'!$E$105)*100</f>
        <v>0</v>
      </c>
      <c r="O104" s="386">
        <f>('Pivot Table for Data Exchange'!$E$108)*100</f>
        <v>0</v>
      </c>
      <c r="P104" s="378">
        <f>('Pivot Table for Data Exchange'!$E$111)*100</f>
        <v>0</v>
      </c>
      <c r="Q104" s="383">
        <f t="shared" si="14"/>
        <v>99.999999999999986</v>
      </c>
      <c r="R104" s="383">
        <f t="shared" si="15"/>
        <v>100</v>
      </c>
      <c r="S104" s="384"/>
      <c r="T104" s="358"/>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row>
    <row r="105" spans="1:41" ht="15.75" customHeight="1">
      <c r="A105" s="349" t="s">
        <v>925</v>
      </c>
      <c r="B105" s="378">
        <f>('Pivot Table for Data Exchange'!$E$114)*100</f>
        <v>0</v>
      </c>
      <c r="C105" s="378">
        <f>('Pivot Table for Data Exchange'!$E$117)*100</f>
        <v>0</v>
      </c>
      <c r="D105" s="379">
        <f t="shared" si="22"/>
        <v>0</v>
      </c>
      <c r="E105" s="378">
        <f>('Pivot Table for Data Exchange'!$E$120)*100</f>
        <v>0</v>
      </c>
      <c r="F105" s="378">
        <f>('Pivot Table for Data Exchange'!$E$123)*100</f>
        <v>0</v>
      </c>
      <c r="G105" s="386">
        <f>('Pivot Table for Data Exchange'!$E$126)*100</f>
        <v>0</v>
      </c>
      <c r="H105" s="378">
        <f>('Pivot Table for Data Exchange'!$E$129)*100</f>
        <v>0</v>
      </c>
      <c r="I105" s="384" t="s">
        <v>925</v>
      </c>
      <c r="J105" s="378">
        <f>('Pivot Table for Data Exchange'!$E$132)*100</f>
        <v>0</v>
      </c>
      <c r="K105" s="378">
        <f>('Pivot Table for Data Exchange'!$E$135)*100</f>
        <v>0</v>
      </c>
      <c r="L105" s="379">
        <f t="shared" si="23"/>
        <v>0</v>
      </c>
      <c r="M105" s="378">
        <f>('Pivot Table for Data Exchange'!$E$138)*100</f>
        <v>0</v>
      </c>
      <c r="N105" s="378">
        <f>('Pivot Table for Data Exchange'!$E$141)*100</f>
        <v>0</v>
      </c>
      <c r="O105" s="386">
        <f>('Pivot Table for Data Exchange'!$E$144)*100</f>
        <v>0</v>
      </c>
      <c r="P105" s="378">
        <f>('Pivot Table for Data Exchange'!$E$147)*100</f>
        <v>0</v>
      </c>
      <c r="Q105" s="383">
        <f t="shared" si="14"/>
        <v>0</v>
      </c>
      <c r="R105" s="383">
        <f t="shared" si="15"/>
        <v>0</v>
      </c>
      <c r="S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row>
    <row r="106" spans="1:41" ht="11.25" customHeight="1">
      <c r="B106" s="378"/>
      <c r="C106" s="378"/>
      <c r="D106" s="379"/>
      <c r="E106" s="378"/>
      <c r="F106" s="378"/>
      <c r="G106" s="386"/>
      <c r="H106" s="378"/>
      <c r="I106" s="384"/>
      <c r="J106" s="378"/>
      <c r="K106" s="378"/>
      <c r="L106" s="379"/>
      <c r="M106" s="378"/>
      <c r="N106" s="378"/>
      <c r="O106" s="386"/>
      <c r="P106" s="378"/>
      <c r="Q106" s="383">
        <f t="shared" si="14"/>
        <v>0</v>
      </c>
      <c r="R106" s="383">
        <f t="shared" si="15"/>
        <v>0</v>
      </c>
      <c r="S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row>
    <row r="107" spans="1:41" ht="15.75" customHeight="1">
      <c r="A107" s="349" t="s">
        <v>889</v>
      </c>
      <c r="B107" s="378">
        <f>('Pivot Table for Data Exchange'!$E$150)*100</f>
        <v>78.578235020398907</v>
      </c>
      <c r="C107" s="378">
        <f>('Pivot Table for Data Exchange'!$E$153)*100</f>
        <v>1.0022969304656504</v>
      </c>
      <c r="D107" s="379">
        <f t="shared" ref="D107:D110" si="24">SUM(E107:G107)</f>
        <v>20.419468049135443</v>
      </c>
      <c r="E107" s="378">
        <f>('Pivot Table for Data Exchange'!$E$156)*100</f>
        <v>20.40605957179789</v>
      </c>
      <c r="F107" s="378">
        <f>('Pivot Table for Data Exchange'!$E$159)*100</f>
        <v>1.2083528984040203E-2</v>
      </c>
      <c r="G107" s="386">
        <f>('Pivot Table for Data Exchange'!$E$162)*100</f>
        <v>1.3249483535131799E-3</v>
      </c>
      <c r="H107" s="378">
        <f>('Pivot Table for Data Exchange'!$E$165)*100</f>
        <v>0</v>
      </c>
      <c r="I107" s="384" t="s">
        <v>889</v>
      </c>
      <c r="J107" s="378">
        <f>('Pivot Table for Data Exchange'!$E$168)*100</f>
        <v>34.858976147300879</v>
      </c>
      <c r="K107" s="378">
        <f>('Pivot Table for Data Exchange'!$E$171)*100</f>
        <v>1.5533547217185104</v>
      </c>
      <c r="L107" s="379">
        <f t="shared" ref="L107:L110" si="25">SUM(M107:O107)</f>
        <v>63.587669130980608</v>
      </c>
      <c r="M107" s="378">
        <f>('Pivot Table for Data Exchange'!$E$174)*100</f>
        <v>63.575952015622818</v>
      </c>
      <c r="N107" s="378">
        <f>('Pivot Table for Data Exchange'!$E$177)*100</f>
        <v>1.004324173524899E-2</v>
      </c>
      <c r="O107" s="386">
        <f>('Pivot Table for Data Exchange'!$E$180)*100</f>
        <v>1.6738736225414982E-3</v>
      </c>
      <c r="P107" s="378">
        <f>('Pivot Table for Data Exchange'!$E$183)*100</f>
        <v>0</v>
      </c>
      <c r="Q107" s="383">
        <f t="shared" si="14"/>
        <v>100</v>
      </c>
      <c r="R107" s="383">
        <f t="shared" si="15"/>
        <v>100</v>
      </c>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row>
    <row r="108" spans="1:41" ht="15.75" customHeight="1">
      <c r="A108" s="349" t="s">
        <v>890</v>
      </c>
      <c r="B108" s="378">
        <f>('Pivot Table for Data Exchange'!$E$186)*100</f>
        <v>75.609733692207342</v>
      </c>
      <c r="C108" s="378">
        <f>('Pivot Table for Data Exchange'!$E$189)*100</f>
        <v>5.3662689044237659</v>
      </c>
      <c r="D108" s="379">
        <f t="shared" si="24"/>
        <v>19.023997403368881</v>
      </c>
      <c r="E108" s="378">
        <f>('Pivot Table for Data Exchange'!$E$192)*100</f>
        <v>17.292828337574292</v>
      </c>
      <c r="F108" s="378">
        <f>('Pivot Table for Data Exchange'!$E$195)*100</f>
        <v>1.591477660704826</v>
      </c>
      <c r="G108" s="386">
        <f>('Pivot Table for Data Exchange'!$E$198)*100</f>
        <v>0.13969140508976444</v>
      </c>
      <c r="H108" s="378">
        <f>('Pivot Table for Data Exchange'!$E$201)*100</f>
        <v>0</v>
      </c>
      <c r="I108" s="384" t="s">
        <v>890</v>
      </c>
      <c r="J108" s="378">
        <f>('Pivot Table for Data Exchange'!$E$204)*100</f>
        <v>46.9251685025828</v>
      </c>
      <c r="K108" s="378">
        <f>('Pivot Table for Data Exchange'!$E$207)*100</f>
        <v>2.9128388976025095</v>
      </c>
      <c r="L108" s="379">
        <f t="shared" si="25"/>
        <v>50.161992599814695</v>
      </c>
      <c r="M108" s="378">
        <f>('Pivot Table for Data Exchange'!$E$210)*100</f>
        <v>49.315997601903945</v>
      </c>
      <c r="N108" s="378">
        <f>('Pivot Table for Data Exchange'!$E$213)*100</f>
        <v>0.54320509171506259</v>
      </c>
      <c r="O108" s="385">
        <f>('Pivot Table for Data Exchange'!$E$216)*100</f>
        <v>0.30278990619568708</v>
      </c>
      <c r="P108" s="378">
        <f>('Pivot Table for Data Exchange'!$E$219)*100</f>
        <v>0</v>
      </c>
      <c r="Q108" s="383">
        <f t="shared" si="14"/>
        <v>99.999999999999986</v>
      </c>
      <c r="R108" s="383">
        <f t="shared" si="15"/>
        <v>100</v>
      </c>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row>
    <row r="109" spans="1:41" ht="15.75" customHeight="1">
      <c r="A109" s="349" t="s">
        <v>891</v>
      </c>
      <c r="B109" s="378">
        <f>('Pivot Table for Data Exchange'!$E$222)*100</f>
        <v>86.090509109561552</v>
      </c>
      <c r="C109" s="378">
        <f>('Pivot Table for Data Exchange'!$E$225)*100</f>
        <v>0</v>
      </c>
      <c r="D109" s="379">
        <f t="shared" si="24"/>
        <v>13.909490890438461</v>
      </c>
      <c r="E109" s="378">
        <f>('Pivot Table for Data Exchange'!$E$228)*100</f>
        <v>13.909490890438461</v>
      </c>
      <c r="F109" s="378">
        <f>('Pivot Table for Data Exchange'!$E$231)*100</f>
        <v>0</v>
      </c>
      <c r="G109" s="386">
        <f>('Pivot Table for Data Exchange'!$E$234)*100</f>
        <v>0</v>
      </c>
      <c r="H109" s="378">
        <f>('Pivot Table for Data Exchange'!$E$237)*100</f>
        <v>0</v>
      </c>
      <c r="I109" s="384" t="s">
        <v>891</v>
      </c>
      <c r="J109" s="378">
        <f>('Pivot Table for Data Exchange'!$E$240)*100</f>
        <v>71.141548622086574</v>
      </c>
      <c r="K109" s="378">
        <f>('Pivot Table for Data Exchange'!$E$243)*100</f>
        <v>0</v>
      </c>
      <c r="L109" s="379">
        <f t="shared" si="25"/>
        <v>28.858451377913426</v>
      </c>
      <c r="M109" s="378">
        <f>('Pivot Table for Data Exchange'!$E$246)*100</f>
        <v>28.858451377913426</v>
      </c>
      <c r="N109" s="378">
        <f>('Pivot Table for Data Exchange'!$E$249)*100</f>
        <v>0</v>
      </c>
      <c r="O109" s="386">
        <f>('Pivot Table for Data Exchange'!$E$252)*100</f>
        <v>0</v>
      </c>
      <c r="P109" s="378">
        <f>('Pivot Table for Data Exchange'!$E$255)*100</f>
        <v>0</v>
      </c>
      <c r="Q109" s="383">
        <f t="shared" si="14"/>
        <v>100.00000000000001</v>
      </c>
      <c r="R109" s="383">
        <f t="shared" si="15"/>
        <v>100</v>
      </c>
      <c r="S109" s="384"/>
      <c r="T109" s="358"/>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row>
    <row r="110" spans="1:41" ht="15.75" customHeight="1">
      <c r="A110" s="349" t="s">
        <v>892</v>
      </c>
      <c r="B110" s="378">
        <f>('Pivot Table for Data Exchange'!$E$258)*100</f>
        <v>85.314703493095038</v>
      </c>
      <c r="C110" s="378">
        <f>('Pivot Table for Data Exchange'!$E$261)*100</f>
        <v>2.298294069861901</v>
      </c>
      <c r="D110" s="379">
        <f t="shared" si="24"/>
        <v>12.387002437043055</v>
      </c>
      <c r="E110" s="378">
        <f>('Pivot Table for Data Exchange'!$E$264)*100</f>
        <v>12.387002437043055</v>
      </c>
      <c r="F110" s="378">
        <f>('Pivot Table for Data Exchange'!$E$267)*100</f>
        <v>0</v>
      </c>
      <c r="G110" s="386">
        <f>('Pivot Table for Data Exchange'!$E$270)*100</f>
        <v>0</v>
      </c>
      <c r="H110" s="378">
        <f>('Pivot Table for Data Exchange'!$E$273)*100</f>
        <v>0</v>
      </c>
      <c r="I110" s="384" t="s">
        <v>892</v>
      </c>
      <c r="J110" s="378">
        <f>('Pivot Table for Data Exchange'!$E$276)*100</f>
        <v>69.614485475561722</v>
      </c>
      <c r="K110" s="378">
        <f>('Pivot Table for Data Exchange'!$E$279)*100</f>
        <v>8.9138057924585485</v>
      </c>
      <c r="L110" s="379">
        <f t="shared" si="25"/>
        <v>21.471708731979739</v>
      </c>
      <c r="M110" s="378">
        <f>('Pivot Table for Data Exchange'!$E$282)*100</f>
        <v>21.448980475345252</v>
      </c>
      <c r="N110" s="378">
        <f>('Pivot Table for Data Exchange'!$E$285)*100</f>
        <v>2.2728256634486341E-2</v>
      </c>
      <c r="O110" s="386">
        <f>('Pivot Table for Data Exchange'!$E$288)*100</f>
        <v>0</v>
      </c>
      <c r="P110" s="378">
        <f>('Pivot Table for Data Exchange'!$E$291)*100</f>
        <v>0</v>
      </c>
      <c r="Q110" s="383">
        <f t="shared" si="14"/>
        <v>99.999999999999986</v>
      </c>
      <c r="R110" s="383">
        <f t="shared" si="15"/>
        <v>100</v>
      </c>
      <c r="S110" s="384"/>
      <c r="U110" s="384"/>
      <c r="V110" s="384"/>
      <c r="W110" s="384"/>
      <c r="X110" s="384"/>
      <c r="Y110" s="384"/>
      <c r="Z110" s="384"/>
      <c r="AA110" s="384"/>
      <c r="AB110" s="384"/>
      <c r="AC110" s="384"/>
      <c r="AD110" s="384"/>
      <c r="AE110" s="384"/>
      <c r="AF110" s="384"/>
      <c r="AG110" s="384"/>
      <c r="AH110" s="384"/>
      <c r="AI110" s="384"/>
      <c r="AJ110" s="384"/>
      <c r="AK110" s="384"/>
      <c r="AL110" s="384"/>
      <c r="AM110" s="384"/>
      <c r="AN110" s="384"/>
      <c r="AO110" s="384"/>
    </row>
    <row r="111" spans="1:41" ht="11.25" customHeight="1">
      <c r="B111" s="378"/>
      <c r="C111" s="378"/>
      <c r="D111" s="379"/>
      <c r="E111" s="378"/>
      <c r="F111" s="378"/>
      <c r="G111" s="386"/>
      <c r="H111" s="378"/>
      <c r="I111" s="384"/>
      <c r="J111" s="378"/>
      <c r="K111" s="378"/>
      <c r="L111" s="379"/>
      <c r="M111" s="378"/>
      <c r="N111" s="378"/>
      <c r="O111" s="386"/>
      <c r="P111" s="378"/>
      <c r="Q111" s="383">
        <f t="shared" si="14"/>
        <v>0</v>
      </c>
      <c r="R111" s="383">
        <f t="shared" si="15"/>
        <v>0</v>
      </c>
      <c r="S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row>
    <row r="112" spans="1:41" ht="15.75" customHeight="1">
      <c r="A112" s="349" t="s">
        <v>893</v>
      </c>
      <c r="B112" s="378">
        <f>('Pivot Table for Data Exchange'!$E$294)*100</f>
        <v>0</v>
      </c>
      <c r="C112" s="378">
        <f>('Pivot Table for Data Exchange'!$E$297)*100</f>
        <v>0</v>
      </c>
      <c r="D112" s="379">
        <f t="shared" ref="D112:D114" si="26">SUM(E112:G112)</f>
        <v>0</v>
      </c>
      <c r="E112" s="378">
        <f>('Pivot Table for Data Exchange'!$E$300)*100</f>
        <v>0</v>
      </c>
      <c r="F112" s="378">
        <f>('Pivot Table for Data Exchange'!$E$303)*100</f>
        <v>0</v>
      </c>
      <c r="G112" s="386">
        <f>('Pivot Table for Data Exchange'!$E$306)*100</f>
        <v>0</v>
      </c>
      <c r="H112" s="378">
        <f>('Pivot Table for Data Exchange'!$E$309)*100</f>
        <v>0</v>
      </c>
      <c r="I112" s="384" t="s">
        <v>893</v>
      </c>
      <c r="J112" s="378">
        <f>('Pivot Table for Data Exchange'!$E$312)*100</f>
        <v>0</v>
      </c>
      <c r="K112" s="378">
        <f>('Pivot Table for Data Exchange'!$E$315)*100</f>
        <v>0</v>
      </c>
      <c r="L112" s="379">
        <f t="shared" ref="L112:L114" si="27">SUM(M112:O112)</f>
        <v>0</v>
      </c>
      <c r="M112" s="378">
        <f>('Pivot Table for Data Exchange'!$E$318)*100</f>
        <v>0</v>
      </c>
      <c r="N112" s="378">
        <f>('Pivot Table for Data Exchange'!$E$321)*100</f>
        <v>0</v>
      </c>
      <c r="O112" s="386">
        <f>('Pivot Table for Data Exchange'!$E$324)*100</f>
        <v>0</v>
      </c>
      <c r="P112" s="378">
        <f>('Pivot Table for Data Exchange'!$E$327)*100</f>
        <v>0</v>
      </c>
      <c r="Q112" s="383">
        <f t="shared" si="14"/>
        <v>0</v>
      </c>
      <c r="R112" s="383">
        <f t="shared" si="15"/>
        <v>0</v>
      </c>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row>
    <row r="113" spans="1:41" ht="15.75" customHeight="1">
      <c r="A113" s="349" t="s">
        <v>894</v>
      </c>
      <c r="B113" s="378">
        <f>('Pivot Table for Data Exchange'!$E$330)*100</f>
        <v>85.639009645112267</v>
      </c>
      <c r="C113" s="378">
        <f>('Pivot Table for Data Exchange'!$E$333)*100</f>
        <v>0.87993875015290723</v>
      </c>
      <c r="D113" s="379">
        <f t="shared" si="26"/>
        <v>13.481051604734816</v>
      </c>
      <c r="E113" s="378">
        <f>('Pivot Table for Data Exchange'!$E$336)*100</f>
        <v>13.470185096988239</v>
      </c>
      <c r="F113" s="390">
        <f>('Pivot Table for Data Exchange'!$E$339)*100</f>
        <v>1.0866507746578137E-2</v>
      </c>
      <c r="G113" s="385">
        <f>('Pivot Table for Data Exchange'!$E$342)*100</f>
        <v>0</v>
      </c>
      <c r="H113" s="378">
        <f>('Pivot Table for Data Exchange'!$E$345)*100</f>
        <v>0</v>
      </c>
      <c r="I113" s="384" t="s">
        <v>894</v>
      </c>
      <c r="J113" s="378">
        <f>('Pivot Table for Data Exchange'!$E$348)*100</f>
        <v>63.654139701522659</v>
      </c>
      <c r="K113" s="378">
        <f>('Pivot Table for Data Exchange'!$E$351)*100</f>
        <v>6.1209299978554039</v>
      </c>
      <c r="L113" s="379">
        <f t="shared" si="27"/>
        <v>30.224930300621935</v>
      </c>
      <c r="M113" s="378">
        <f>('Pivot Table for Data Exchange'!$E$354)*100</f>
        <v>30.032547401884724</v>
      </c>
      <c r="N113" s="390">
        <f>('Pivot Table for Data Exchange'!$E$357)*100</f>
        <v>0.19238289873721126</v>
      </c>
      <c r="O113" s="386">
        <f>('Pivot Table for Data Exchange'!$E$360)*100</f>
        <v>0</v>
      </c>
      <c r="P113" s="378">
        <f>('Pivot Table for Data Exchange'!$E$363)*100</f>
        <v>0</v>
      </c>
      <c r="Q113" s="383">
        <f t="shared" si="14"/>
        <v>99.999999999999986</v>
      </c>
      <c r="R113" s="383">
        <f t="shared" si="15"/>
        <v>100</v>
      </c>
      <c r="S113" s="384"/>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row>
    <row r="114" spans="1:41" ht="15.75" customHeight="1">
      <c r="A114" s="349" t="s">
        <v>895</v>
      </c>
      <c r="B114" s="378">
        <f>('Pivot Table for Data Exchange'!$E$366)*100</f>
        <v>76.682230726966864</v>
      </c>
      <c r="C114" s="378">
        <f>('Pivot Table for Data Exchange'!$E$369)*100</f>
        <v>1.6390409316534471</v>
      </c>
      <c r="D114" s="379">
        <f t="shared" si="26"/>
        <v>21.678728341379696</v>
      </c>
      <c r="E114" s="378">
        <f>('Pivot Table for Data Exchange'!$E$372)*100</f>
        <v>20.724682283593165</v>
      </c>
      <c r="F114" s="378">
        <f>('Pivot Table for Data Exchange'!$E$375)*100</f>
        <v>0.17766818531112702</v>
      </c>
      <c r="G114" s="386">
        <f>('Pivot Table for Data Exchange'!$E$378)*100</f>
        <v>0.77637787247540313</v>
      </c>
      <c r="H114" s="378">
        <f>('Pivot Table for Data Exchange'!$E$381)*100</f>
        <v>0</v>
      </c>
      <c r="I114" s="384" t="s">
        <v>895</v>
      </c>
      <c r="J114" s="378">
        <f>('Pivot Table for Data Exchange'!$E$384)*100</f>
        <v>80.801625259237312</v>
      </c>
      <c r="K114" s="378">
        <f>('Pivot Table for Data Exchange'!$E$387)*100</f>
        <v>0.48461505904262075</v>
      </c>
      <c r="L114" s="379">
        <f t="shared" si="27"/>
        <v>18.713759681720067</v>
      </c>
      <c r="M114" s="378">
        <f>('Pivot Table for Data Exchange'!$E$390)*100</f>
        <v>14.182926313116351</v>
      </c>
      <c r="N114" s="378">
        <f>('Pivot Table for Data Exchange'!$E$393)*100</f>
        <v>1.115249502687603</v>
      </c>
      <c r="O114" s="386">
        <f>('Pivot Table for Data Exchange'!$E$396)*100</f>
        <v>3.4155838659161128</v>
      </c>
      <c r="P114" s="378">
        <f>('Pivot Table for Data Exchange'!$E$399)*100</f>
        <v>0</v>
      </c>
      <c r="Q114" s="383">
        <f t="shared" si="14"/>
        <v>100</v>
      </c>
      <c r="R114" s="383">
        <f t="shared" si="15"/>
        <v>100</v>
      </c>
      <c r="S114" s="384"/>
      <c r="T114" s="358"/>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row>
    <row r="115" spans="1:41" ht="15.75" customHeight="1">
      <c r="A115" s="349" t="s">
        <v>896</v>
      </c>
      <c r="B115" s="378">
        <f>('Pivot Table for Data Exchange'!$E$402)*100</f>
        <v>93.873011429904366</v>
      </c>
      <c r="C115" s="378">
        <f>('Pivot Table for Data Exchange'!$E$405)*100</f>
        <v>1.1730347562397947</v>
      </c>
      <c r="D115" s="379">
        <f>SUM(E115:G115)</f>
        <v>4.9539538138558425</v>
      </c>
      <c r="E115" s="378">
        <f>('Pivot Table for Data Exchange'!$E$408)*100</f>
        <v>4.9539538138558425</v>
      </c>
      <c r="F115" s="390">
        <f>('Pivot Table for Data Exchange'!$E$411)*100</f>
        <v>0</v>
      </c>
      <c r="G115" s="386">
        <f>('Pivot Table for Data Exchange'!$E$414)*100</f>
        <v>0</v>
      </c>
      <c r="H115" s="378">
        <f>('Pivot Table for Data Exchange'!$E$417)*100</f>
        <v>0</v>
      </c>
      <c r="I115" s="384" t="s">
        <v>896</v>
      </c>
      <c r="J115" s="378">
        <f>('Pivot Table for Data Exchange'!$E$420)*100</f>
        <v>72.797285967751364</v>
      </c>
      <c r="K115" s="378">
        <f>('Pivot Table for Data Exchange'!$E$423)*100</f>
        <v>13.548714149232779</v>
      </c>
      <c r="L115" s="379">
        <f>SUM(M115:O115)</f>
        <v>13.653999883015851</v>
      </c>
      <c r="M115" s="378">
        <f>('Pivot Table for Data Exchange'!$E$426)*100</f>
        <v>13.653999883015851</v>
      </c>
      <c r="N115" s="378">
        <f>('Pivot Table for Data Exchange'!$E$429)*100</f>
        <v>0</v>
      </c>
      <c r="O115" s="385">
        <f>('Pivot Table for Data Exchange'!$E$432)*100</f>
        <v>0</v>
      </c>
      <c r="P115" s="378">
        <f>('Pivot Table for Data Exchange'!$E$435)*100</f>
        <v>0</v>
      </c>
      <c r="Q115" s="383">
        <f t="shared" si="14"/>
        <v>100.00000000000001</v>
      </c>
      <c r="R115" s="383">
        <f t="shared" si="15"/>
        <v>100</v>
      </c>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row>
    <row r="116" spans="1:41" ht="11.25" customHeight="1">
      <c r="B116" s="378"/>
      <c r="C116" s="378"/>
      <c r="D116" s="379"/>
      <c r="E116" s="378"/>
      <c r="F116" s="378"/>
      <c r="G116" s="386"/>
      <c r="H116" s="378"/>
      <c r="I116" s="384"/>
      <c r="J116" s="378"/>
      <c r="K116" s="378"/>
      <c r="L116" s="379"/>
      <c r="M116" s="378"/>
      <c r="N116" s="378"/>
      <c r="O116" s="386"/>
      <c r="P116" s="378"/>
      <c r="Q116" s="383">
        <f t="shared" si="14"/>
        <v>0</v>
      </c>
      <c r="R116" s="383">
        <f t="shared" si="15"/>
        <v>0</v>
      </c>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row>
    <row r="117" spans="1:41" ht="15.75" customHeight="1">
      <c r="A117" s="349" t="s">
        <v>897</v>
      </c>
      <c r="B117" s="378">
        <f>('Pivot Table for Data Exchange'!$E$438)*100</f>
        <v>70.141765584690717</v>
      </c>
      <c r="C117" s="378">
        <f>('Pivot Table for Data Exchange'!$E$441)*100</f>
        <v>1.7041412757995613</v>
      </c>
      <c r="D117" s="379">
        <f>SUM(E117:G117)</f>
        <v>27.251489115238151</v>
      </c>
      <c r="E117" s="378">
        <f>('Pivot Table for Data Exchange'!$E$444)*100</f>
        <v>16.56484405267393</v>
      </c>
      <c r="F117" s="378">
        <f>('Pivot Table for Data Exchange'!$E$447)*100</f>
        <v>0</v>
      </c>
      <c r="G117" s="386">
        <f>('Pivot Table for Data Exchange'!$E$450)*100</f>
        <v>10.686645062564219</v>
      </c>
      <c r="H117" s="378">
        <f>('Pivot Table for Data Exchange'!$E$453)*100</f>
        <v>0.90260402427157427</v>
      </c>
      <c r="I117" s="384" t="s">
        <v>897</v>
      </c>
      <c r="J117" s="378">
        <f>('Pivot Table for Data Exchange'!$E$456)*100</f>
        <v>43.050179081798781</v>
      </c>
      <c r="K117" s="378">
        <f>('Pivot Table for Data Exchange'!$E$459)*100</f>
        <v>0.34188343402915955</v>
      </c>
      <c r="L117" s="379">
        <f>SUM(M117:O117)</f>
        <v>52.716978401649719</v>
      </c>
      <c r="M117" s="378">
        <f>('Pivot Table for Data Exchange'!$E$462)*100</f>
        <v>47.818458087623455</v>
      </c>
      <c r="N117" s="378">
        <f>('Pivot Table for Data Exchange'!$E$465)*100</f>
        <v>1.4471256466842733E-2</v>
      </c>
      <c r="O117" s="386">
        <f>('Pivot Table for Data Exchange'!$E$468)*100</f>
        <v>4.8840490575594222</v>
      </c>
      <c r="P117" s="378">
        <f>('Pivot Table for Data Exchange'!$E$471)*100</f>
        <v>3.8909590825223397</v>
      </c>
      <c r="Q117" s="383">
        <f t="shared" si="14"/>
        <v>100</v>
      </c>
      <c r="R117" s="383">
        <f t="shared" si="15"/>
        <v>100</v>
      </c>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row>
    <row r="118" spans="1:41" ht="15.75" customHeight="1">
      <c r="A118" s="349" t="s">
        <v>898</v>
      </c>
      <c r="B118" s="378">
        <f>('Pivot Table for Data Exchange'!$E$474)*100</f>
        <v>78.333005697810336</v>
      </c>
      <c r="C118" s="378">
        <f>('Pivot Table for Data Exchange'!$E$477)*100</f>
        <v>2.1617594992713283</v>
      </c>
      <c r="D118" s="379">
        <f>SUM(E118:G118)</f>
        <v>19.505234802918345</v>
      </c>
      <c r="E118" s="378">
        <f>('Pivot Table for Data Exchange'!$E$480)*100</f>
        <v>18.644137533773129</v>
      </c>
      <c r="F118" s="378">
        <f>('Pivot Table for Data Exchange'!$E$483)*100</f>
        <v>0.40736016693664845</v>
      </c>
      <c r="G118" s="386">
        <f>('Pivot Table for Data Exchange'!$E$486)*100</f>
        <v>0.45373710220856822</v>
      </c>
      <c r="H118" s="378">
        <f>('Pivot Table for Data Exchange'!$E$489)*100</f>
        <v>0</v>
      </c>
      <c r="I118" s="384" t="s">
        <v>898</v>
      </c>
      <c r="J118" s="378">
        <f>('Pivot Table for Data Exchange'!$E$492)*100</f>
        <v>42.780409014814381</v>
      </c>
      <c r="K118" s="378">
        <f>('Pivot Table for Data Exchange'!$E$495)*100</f>
        <v>3.1658969246774511</v>
      </c>
      <c r="L118" s="379">
        <f>SUM(M118:O118)</f>
        <v>54.053694060508164</v>
      </c>
      <c r="M118" s="378">
        <f>('Pivot Table for Data Exchange'!$E$498)*100</f>
        <v>52.671383264210782</v>
      </c>
      <c r="N118" s="378">
        <f>('Pivot Table for Data Exchange'!$E$501)*100</f>
        <v>0.43843045542366654</v>
      </c>
      <c r="O118" s="386">
        <f>('Pivot Table for Data Exchange'!$E$504)*100</f>
        <v>0.9438803408737203</v>
      </c>
      <c r="P118" s="378">
        <f>('Pivot Table for Data Exchange'!$E$507)*100</f>
        <v>0</v>
      </c>
      <c r="Q118" s="383">
        <f t="shared" si="14"/>
        <v>100</v>
      </c>
      <c r="R118" s="383">
        <f t="shared" si="15"/>
        <v>100</v>
      </c>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row>
    <row r="119" spans="1:41" ht="15.75" customHeight="1">
      <c r="A119" s="349" t="s">
        <v>899</v>
      </c>
      <c r="B119" s="378">
        <f>('Pivot Table for Data Exchange'!$E$510)*100</f>
        <v>91.063317394485153</v>
      </c>
      <c r="C119" s="378">
        <f>('Pivot Table for Data Exchange'!$E$513)*100</f>
        <v>1.755119383550978</v>
      </c>
      <c r="D119" s="379">
        <f t="shared" ref="D119" si="28">SUM(E119:G119)</f>
        <v>7.1815632219638701</v>
      </c>
      <c r="E119" s="378">
        <f>('Pivot Table for Data Exchange'!$E$516)*100</f>
        <v>7.0280702976750362</v>
      </c>
      <c r="F119" s="378">
        <f>('Pivot Table for Data Exchange'!$E$519)*100</f>
        <v>0.15349292428883352</v>
      </c>
      <c r="G119" s="386">
        <f>('Pivot Table for Data Exchange'!$E$522)*100</f>
        <v>0</v>
      </c>
      <c r="H119" s="378">
        <f>('Pivot Table for Data Exchange'!$E$525)*100</f>
        <v>0</v>
      </c>
      <c r="I119" s="384" t="s">
        <v>899</v>
      </c>
      <c r="J119" s="378">
        <f>('Pivot Table for Data Exchange'!$E$528)*100</f>
        <v>70.99176504463</v>
      </c>
      <c r="K119" s="378">
        <f>('Pivot Table for Data Exchange'!$E$531)*100</f>
        <v>9.5801900374316151</v>
      </c>
      <c r="L119" s="379">
        <f t="shared" ref="L119" si="29">SUM(M119:O119)</f>
        <v>19.428044917938379</v>
      </c>
      <c r="M119" s="378">
        <f>('Pivot Table for Data Exchange'!$E$534)*100</f>
        <v>17.298473941837027</v>
      </c>
      <c r="N119" s="378">
        <f>('Pivot Table for Data Exchange'!$E$537)*100</f>
        <v>2.1295709761013533</v>
      </c>
      <c r="O119" s="386">
        <f>('Pivot Table for Data Exchange'!$E$540)*100</f>
        <v>0</v>
      </c>
      <c r="P119" s="378">
        <f>('Pivot Table for Data Exchange'!$E$543)*100</f>
        <v>0</v>
      </c>
      <c r="Q119" s="383">
        <f t="shared" si="14"/>
        <v>100</v>
      </c>
      <c r="R119" s="383">
        <f t="shared" si="15"/>
        <v>100</v>
      </c>
      <c r="S119" s="384"/>
      <c r="T119" s="384"/>
      <c r="U119" s="384"/>
      <c r="V119" s="384"/>
      <c r="W119" s="384"/>
      <c r="X119" s="384"/>
      <c r="Y119" s="384"/>
      <c r="Z119" s="384"/>
      <c r="AA119" s="384"/>
      <c r="AB119" s="384"/>
      <c r="AC119" s="384"/>
      <c r="AD119" s="384"/>
      <c r="AE119" s="384"/>
      <c r="AF119" s="384"/>
      <c r="AG119" s="384"/>
      <c r="AH119" s="384"/>
      <c r="AI119" s="384"/>
      <c r="AJ119" s="384"/>
      <c r="AK119" s="384"/>
      <c r="AL119" s="384"/>
      <c r="AM119" s="384"/>
      <c r="AN119" s="384"/>
      <c r="AO119" s="384"/>
    </row>
    <row r="120" spans="1:41" ht="15.75" customHeight="1">
      <c r="A120" s="355" t="s">
        <v>900</v>
      </c>
      <c r="B120" s="391">
        <f>('Pivot Table for Data Exchange'!$E$546)*100</f>
        <v>77.082781732493132</v>
      </c>
      <c r="C120" s="391">
        <f>('Pivot Table for Data Exchange'!$E$549)*100</f>
        <v>8.3443653501373021</v>
      </c>
      <c r="D120" s="392">
        <f>SUM(E120:G120)</f>
        <v>14.572852917369563</v>
      </c>
      <c r="E120" s="391">
        <f>('Pivot Table for Data Exchange'!$E$552)*100</f>
        <v>13.199839625995718</v>
      </c>
      <c r="F120" s="412">
        <f>('Pivot Table for Data Exchange'!$E$555)*100</f>
        <v>1.3730132913738453</v>
      </c>
      <c r="G120" s="393">
        <f>('Pivot Table for Data Exchange'!$E$558)*100</f>
        <v>0</v>
      </c>
      <c r="H120" s="391">
        <f>('Pivot Table for Data Exchange'!$E$561)*100</f>
        <v>0</v>
      </c>
      <c r="I120" s="394" t="s">
        <v>900</v>
      </c>
      <c r="J120" s="391">
        <f>('Pivot Table for Data Exchange'!$E$564)*100</f>
        <v>52.219120328167733</v>
      </c>
      <c r="K120" s="391">
        <f>('Pivot Table for Data Exchange'!$E$567)*100</f>
        <v>25.15525296262534</v>
      </c>
      <c r="L120" s="392">
        <f>SUM(M120:O120)</f>
        <v>22.625626709206927</v>
      </c>
      <c r="M120" s="391">
        <f>('Pivot Table for Data Exchange'!$E$570)*100</f>
        <v>21.422060164083863</v>
      </c>
      <c r="N120" s="391">
        <f>('Pivot Table for Data Exchange'!$E$573)*100</f>
        <v>1.2035665451230628</v>
      </c>
      <c r="O120" s="393">
        <f>('Pivot Table for Data Exchange'!$E$576)*100</f>
        <v>0</v>
      </c>
      <c r="P120" s="391">
        <f>('Pivot Table for Data Exchange'!$E$579)*100</f>
        <v>0</v>
      </c>
      <c r="Q120" s="383">
        <f t="shared" si="14"/>
        <v>99.999999999999986</v>
      </c>
      <c r="R120" s="383">
        <f t="shared" si="15"/>
        <v>100</v>
      </c>
      <c r="S120" s="384"/>
      <c r="T120" s="384"/>
      <c r="U120" s="384"/>
      <c r="V120" s="384"/>
      <c r="W120" s="384"/>
      <c r="X120" s="384"/>
      <c r="Y120" s="384"/>
      <c r="Z120" s="384"/>
      <c r="AA120" s="384"/>
      <c r="AB120" s="384"/>
      <c r="AC120" s="384"/>
      <c r="AD120" s="384"/>
      <c r="AE120" s="384"/>
      <c r="AF120" s="384"/>
      <c r="AG120" s="384"/>
      <c r="AH120" s="384"/>
      <c r="AI120" s="384"/>
      <c r="AJ120" s="384"/>
      <c r="AK120" s="384"/>
      <c r="AL120" s="384"/>
      <c r="AM120" s="384"/>
      <c r="AN120" s="384"/>
      <c r="AO120" s="384"/>
    </row>
    <row r="121" spans="1:41" s="396" customFormat="1" ht="12" customHeight="1">
      <c r="A121" s="397" t="s">
        <v>926</v>
      </c>
      <c r="B121" s="398"/>
      <c r="C121" s="398"/>
      <c r="D121" s="399"/>
      <c r="E121" s="398"/>
      <c r="F121" s="399"/>
      <c r="G121" s="399"/>
      <c r="H121" s="398"/>
      <c r="I121" s="397" t="s">
        <v>926</v>
      </c>
      <c r="J121" s="398"/>
      <c r="K121" s="398"/>
      <c r="L121" s="399"/>
      <c r="M121" s="398"/>
      <c r="N121" s="399"/>
      <c r="O121" s="399"/>
      <c r="P121" s="398"/>
      <c r="Q121" s="383"/>
      <c r="R121" s="383"/>
      <c r="S121" s="400"/>
      <c r="T121" s="400"/>
      <c r="U121" s="400"/>
      <c r="V121" s="400"/>
      <c r="W121" s="400"/>
      <c r="X121" s="400"/>
      <c r="Y121" s="400"/>
      <c r="Z121" s="400"/>
      <c r="AA121" s="400"/>
      <c r="AB121" s="400"/>
      <c r="AC121" s="400"/>
      <c r="AD121" s="400"/>
      <c r="AE121" s="400"/>
      <c r="AF121" s="400"/>
      <c r="AG121" s="400"/>
      <c r="AH121" s="400"/>
      <c r="AI121" s="400"/>
      <c r="AJ121" s="400"/>
      <c r="AK121" s="400"/>
      <c r="AL121" s="400"/>
      <c r="AM121" s="400"/>
      <c r="AN121" s="400"/>
      <c r="AO121" s="400"/>
    </row>
    <row r="122" spans="1:41" s="396" customFormat="1" ht="28.5" customHeight="1">
      <c r="A122" s="501" t="s">
        <v>932</v>
      </c>
      <c r="B122" s="518"/>
      <c r="C122" s="518"/>
      <c r="D122" s="518"/>
      <c r="E122" s="518"/>
      <c r="F122" s="518"/>
      <c r="G122" s="518"/>
      <c r="H122" s="518"/>
      <c r="I122" s="501" t="s">
        <v>932</v>
      </c>
      <c r="J122" s="518"/>
      <c r="K122" s="518"/>
      <c r="L122" s="518"/>
      <c r="M122" s="518"/>
      <c r="N122" s="518"/>
      <c r="O122" s="518"/>
      <c r="P122" s="518"/>
      <c r="Q122" s="383"/>
      <c r="R122" s="383"/>
      <c r="S122" s="400"/>
      <c r="T122" s="400"/>
      <c r="U122" s="400"/>
      <c r="V122" s="400"/>
      <c r="W122" s="400"/>
      <c r="X122" s="400"/>
      <c r="Y122" s="400"/>
      <c r="Z122" s="400"/>
      <c r="AA122" s="400"/>
      <c r="AB122" s="400"/>
      <c r="AC122" s="400"/>
      <c r="AD122" s="400"/>
      <c r="AE122" s="400"/>
      <c r="AF122" s="400"/>
      <c r="AG122" s="400"/>
      <c r="AH122" s="400"/>
      <c r="AI122" s="400"/>
      <c r="AJ122" s="400"/>
      <c r="AK122" s="400"/>
      <c r="AL122" s="400"/>
      <c r="AM122" s="400"/>
      <c r="AN122" s="400"/>
      <c r="AO122" s="400"/>
    </row>
    <row r="123" spans="1:41" s="396" customFormat="1" ht="13.5" customHeight="1">
      <c r="A123" s="407"/>
      <c r="B123" s="408"/>
      <c r="I123" s="407"/>
      <c r="P123" s="409"/>
      <c r="Q123" s="383"/>
      <c r="R123" s="383"/>
    </row>
    <row r="124" spans="1:41" s="396" customFormat="1" ht="13.5" customHeight="1">
      <c r="H124" s="402" t="s">
        <v>1007</v>
      </c>
      <c r="I124" s="407"/>
      <c r="P124" s="402" t="s">
        <v>1007</v>
      </c>
      <c r="Q124" s="383"/>
      <c r="R124" s="383"/>
    </row>
    <row r="125" spans="1:41" ht="18">
      <c r="A125" s="344" t="s">
        <v>933</v>
      </c>
      <c r="B125" s="345"/>
      <c r="C125" s="345"/>
      <c r="D125" s="345"/>
      <c r="E125" s="345"/>
      <c r="F125" s="345"/>
      <c r="G125" s="345"/>
      <c r="H125" s="345"/>
      <c r="I125" s="344" t="s">
        <v>934</v>
      </c>
      <c r="J125" s="346"/>
      <c r="K125" s="346"/>
      <c r="L125" s="345"/>
      <c r="M125" s="346"/>
      <c r="N125" s="346"/>
      <c r="O125" s="346"/>
      <c r="P125" s="346"/>
      <c r="Q125" s="383"/>
      <c r="R125" s="383"/>
    </row>
    <row r="126" spans="1:41">
      <c r="A126" s="350"/>
      <c r="B126" s="346"/>
      <c r="C126" s="346"/>
      <c r="D126" s="346"/>
      <c r="E126" s="346"/>
      <c r="F126" s="346"/>
      <c r="G126" s="346"/>
      <c r="H126" s="346"/>
      <c r="I126" s="350"/>
      <c r="J126" s="346"/>
      <c r="K126" s="346"/>
      <c r="L126" s="346"/>
      <c r="M126" s="346"/>
      <c r="N126" s="346"/>
      <c r="O126" s="346"/>
      <c r="P126" s="346"/>
      <c r="Q126" s="383"/>
      <c r="R126" s="383"/>
    </row>
    <row r="127" spans="1:41" ht="15.75">
      <c r="A127" s="352" t="s">
        <v>906</v>
      </c>
      <c r="B127" s="346"/>
      <c r="C127" s="346"/>
      <c r="D127" s="346"/>
      <c r="E127" s="346"/>
      <c r="F127" s="346"/>
      <c r="G127" s="346"/>
      <c r="H127" s="346"/>
      <c r="I127" s="352" t="s">
        <v>907</v>
      </c>
      <c r="J127" s="346"/>
      <c r="K127" s="346"/>
      <c r="L127" s="346"/>
      <c r="M127" s="346"/>
      <c r="N127" s="346"/>
      <c r="O127" s="346"/>
      <c r="P127" s="346"/>
      <c r="Q127" s="383"/>
      <c r="R127" s="383"/>
    </row>
    <row r="128" spans="1:41" ht="15.75">
      <c r="A128" s="352" t="s">
        <v>954</v>
      </c>
      <c r="B128" s="346"/>
      <c r="C128" s="346"/>
      <c r="D128" s="346"/>
      <c r="E128" s="346"/>
      <c r="F128" s="346"/>
      <c r="G128" s="346"/>
      <c r="H128" s="346"/>
      <c r="I128" s="352" t="s">
        <v>954</v>
      </c>
      <c r="J128" s="346"/>
      <c r="K128" s="346"/>
      <c r="L128" s="346"/>
      <c r="M128" s="346"/>
      <c r="N128" s="346"/>
      <c r="O128" s="346"/>
      <c r="P128" s="346"/>
      <c r="Q128" s="383"/>
      <c r="R128" s="383"/>
    </row>
    <row r="129" spans="1:41">
      <c r="A129" s="355"/>
      <c r="B129" s="356"/>
      <c r="C129" s="356"/>
      <c r="D129" s="356"/>
      <c r="E129" s="356"/>
      <c r="F129" s="356"/>
      <c r="G129" s="356"/>
      <c r="H129" s="356"/>
      <c r="I129" s="357"/>
      <c r="L129" s="358"/>
      <c r="P129" s="355"/>
      <c r="Q129" s="383"/>
      <c r="R129" s="383"/>
    </row>
    <row r="130" spans="1:41" s="365" customFormat="1">
      <c r="A130" s="360"/>
      <c r="B130" s="361" t="s">
        <v>908</v>
      </c>
      <c r="C130" s="361"/>
      <c r="D130" s="361"/>
      <c r="E130" s="361"/>
      <c r="F130" s="361"/>
      <c r="G130" s="361"/>
      <c r="H130" s="362"/>
      <c r="I130" s="360"/>
      <c r="J130" s="361" t="s">
        <v>908</v>
      </c>
      <c r="K130" s="361"/>
      <c r="L130" s="361"/>
      <c r="M130" s="361"/>
      <c r="N130" s="361"/>
      <c r="O130" s="361"/>
      <c r="P130" s="362"/>
      <c r="Q130" s="383"/>
      <c r="R130" s="383"/>
    </row>
    <row r="131" spans="1:41" s="365" customFormat="1">
      <c r="A131" s="360"/>
      <c r="B131" s="361" t="s">
        <v>909</v>
      </c>
      <c r="C131" s="361"/>
      <c r="D131" s="506" t="s">
        <v>910</v>
      </c>
      <c r="E131" s="504"/>
      <c r="F131" s="504"/>
      <c r="G131" s="504"/>
      <c r="H131" s="368" t="s">
        <v>800</v>
      </c>
      <c r="I131" s="360"/>
      <c r="J131" s="361" t="s">
        <v>909</v>
      </c>
      <c r="K131" s="361"/>
      <c r="L131" s="506" t="s">
        <v>910</v>
      </c>
      <c r="M131" s="504"/>
      <c r="N131" s="504"/>
      <c r="O131" s="504"/>
      <c r="P131" s="368" t="s">
        <v>800</v>
      </c>
      <c r="Q131" s="383"/>
      <c r="R131" s="383"/>
    </row>
    <row r="132" spans="1:41" s="365" customFormat="1" ht="40.5" customHeight="1">
      <c r="A132" s="360"/>
      <c r="B132" s="369" t="s">
        <v>911</v>
      </c>
      <c r="C132" s="370" t="s">
        <v>912</v>
      </c>
      <c r="D132" s="371" t="s">
        <v>913</v>
      </c>
      <c r="E132" s="372" t="s">
        <v>10</v>
      </c>
      <c r="F132" s="369" t="s">
        <v>914</v>
      </c>
      <c r="G132" s="373" t="s">
        <v>924</v>
      </c>
      <c r="H132" s="374" t="s">
        <v>916</v>
      </c>
      <c r="I132" s="360"/>
      <c r="J132" s="369" t="s">
        <v>911</v>
      </c>
      <c r="K132" s="370" t="s">
        <v>912</v>
      </c>
      <c r="L132" s="371" t="s">
        <v>913</v>
      </c>
      <c r="M132" s="372" t="s">
        <v>10</v>
      </c>
      <c r="N132" s="369" t="s">
        <v>914</v>
      </c>
      <c r="O132" s="373" t="s">
        <v>924</v>
      </c>
      <c r="P132" s="374" t="s">
        <v>916</v>
      </c>
      <c r="Q132" s="383"/>
      <c r="R132" s="383"/>
      <c r="T132" s="403"/>
    </row>
    <row r="133" spans="1:41" ht="15.75" customHeight="1">
      <c r="A133" s="404" t="s">
        <v>885</v>
      </c>
      <c r="B133" s="378">
        <f>('Pivot Table for Data Exchange'!$F$6)*100</f>
        <v>85.787921955787652</v>
      </c>
      <c r="C133" s="378">
        <f>('Pivot Table for Data Exchange'!$F$9)*100</f>
        <v>7.4996726333374342E-2</v>
      </c>
      <c r="D133" s="379">
        <f>SUM(E133:G133)</f>
        <v>14.137081317878982</v>
      </c>
      <c r="E133" s="378">
        <f>('Pivot Table for Data Exchange'!$F$12)*100</f>
        <v>14.137081317878982</v>
      </c>
      <c r="F133" s="378">
        <f>('Pivot Table for Data Exchange'!$F$15)*100</f>
        <v>0</v>
      </c>
      <c r="G133" s="382">
        <f>('Pivot Table for Data Exchange'!$F$18)*100</f>
        <v>0</v>
      </c>
      <c r="H133" s="378">
        <f>('Pivot Table for Data Exchange'!$F$21)*100</f>
        <v>0</v>
      </c>
      <c r="I133" s="381" t="s">
        <v>885</v>
      </c>
      <c r="J133" s="378">
        <f>('Pivot Table for Data Exchange'!$F$24)*100</f>
        <v>68.261662109536829</v>
      </c>
      <c r="K133" s="378">
        <f>('Pivot Table for Data Exchange'!$F$27)*100</f>
        <v>0</v>
      </c>
      <c r="L133" s="379">
        <f>SUM(M133:O133)</f>
        <v>31.738337890463171</v>
      </c>
      <c r="M133" s="378">
        <f>('Pivot Table for Data Exchange'!$F$30)*100</f>
        <v>31.738337890463171</v>
      </c>
      <c r="N133" s="378">
        <f>('Pivot Table for Data Exchange'!$F$33)*100</f>
        <v>0</v>
      </c>
      <c r="O133" s="382">
        <f>('Pivot Table for Data Exchange'!$F$36)*100</f>
        <v>0</v>
      </c>
      <c r="P133" s="378">
        <f>('Pivot Table for Data Exchange'!$F$39)*100</f>
        <v>0</v>
      </c>
      <c r="Q133" s="383">
        <f t="shared" si="14"/>
        <v>100</v>
      </c>
      <c r="R133" s="383">
        <f t="shared" si="15"/>
        <v>100</v>
      </c>
      <c r="S133" s="384"/>
      <c r="T133" s="384"/>
      <c r="U133" s="384"/>
      <c r="V133" s="384"/>
      <c r="W133" s="384"/>
      <c r="X133" s="384"/>
      <c r="Y133" s="384"/>
      <c r="Z133" s="384"/>
      <c r="AA133" s="384"/>
      <c r="AB133" s="384"/>
      <c r="AC133" s="384"/>
      <c r="AD133" s="384"/>
      <c r="AE133" s="384"/>
      <c r="AF133" s="384"/>
      <c r="AG133" s="384"/>
      <c r="AH133" s="384"/>
      <c r="AI133" s="384"/>
      <c r="AJ133" s="384"/>
      <c r="AK133" s="384"/>
      <c r="AL133" s="384"/>
      <c r="AM133" s="384"/>
      <c r="AN133" s="384"/>
      <c r="AO133" s="384"/>
    </row>
    <row r="134" spans="1:41" ht="15.75" customHeight="1">
      <c r="A134" s="349" t="s">
        <v>886</v>
      </c>
      <c r="B134" s="378">
        <f>('Pivot Table for Data Exchange'!$F$42)*100</f>
        <v>75.436145491817669</v>
      </c>
      <c r="C134" s="378">
        <f>('Pivot Table for Data Exchange'!$F$45)*100</f>
        <v>2.7042775605338352</v>
      </c>
      <c r="D134" s="379">
        <f t="shared" ref="D134:D136" si="30">SUM(E134:G134)</f>
        <v>21.859576947648502</v>
      </c>
      <c r="E134" s="378">
        <f>('Pivot Table for Data Exchange'!$F$48)*100</f>
        <v>21.859576947648502</v>
      </c>
      <c r="F134" s="378">
        <f>('Pivot Table for Data Exchange'!$F$51)*100</f>
        <v>0</v>
      </c>
      <c r="G134" s="386">
        <f>('Pivot Table for Data Exchange'!$F$54)*100</f>
        <v>0</v>
      </c>
      <c r="H134" s="378">
        <f>('Pivot Table for Data Exchange'!$F$57)*100</f>
        <v>0</v>
      </c>
      <c r="I134" s="384" t="s">
        <v>886</v>
      </c>
      <c r="J134" s="378">
        <f>('Pivot Table for Data Exchange'!$F$60)*100</f>
        <v>19.168274743406887</v>
      </c>
      <c r="K134" s="378">
        <f>('Pivot Table for Data Exchange'!$F$63)*100</f>
        <v>7.7187683530497528</v>
      </c>
      <c r="L134" s="379">
        <f t="shared" ref="L134:L136" si="31">SUM(M134:O134)</f>
        <v>73.112956903543363</v>
      </c>
      <c r="M134" s="378">
        <f>('Pivot Table for Data Exchange'!$F$66)*100</f>
        <v>73.112956903543363</v>
      </c>
      <c r="N134" s="378">
        <f>('Pivot Table for Data Exchange'!$F$69)*100</f>
        <v>0</v>
      </c>
      <c r="O134" s="386">
        <f>('Pivot Table for Data Exchange'!$F$72)*100</f>
        <v>0</v>
      </c>
      <c r="P134" s="378">
        <f>('Pivot Table for Data Exchange'!$F$75)*100</f>
        <v>0</v>
      </c>
      <c r="Q134" s="383">
        <f t="shared" si="14"/>
        <v>100.00000000000001</v>
      </c>
      <c r="R134" s="383">
        <f t="shared" si="15"/>
        <v>100</v>
      </c>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row>
    <row r="135" spans="1:41" ht="15.75" customHeight="1">
      <c r="A135" s="349" t="s">
        <v>887</v>
      </c>
      <c r="B135" s="378">
        <f>('Pivot Table for Data Exchange'!$F$78)*100</f>
        <v>0</v>
      </c>
      <c r="C135" s="378">
        <f>('Pivot Table for Data Exchange'!$F$81)*100</f>
        <v>0</v>
      </c>
      <c r="D135" s="379">
        <f t="shared" si="30"/>
        <v>0</v>
      </c>
      <c r="E135" s="378">
        <f>('Pivot Table for Data Exchange'!$F$84)*100</f>
        <v>0</v>
      </c>
      <c r="F135" s="378">
        <f>('Pivot Table for Data Exchange'!$F$87)*100</f>
        <v>0</v>
      </c>
      <c r="G135" s="386">
        <f>('Pivot Table for Data Exchange'!$F$90)*100</f>
        <v>0</v>
      </c>
      <c r="H135" s="378">
        <f>('Pivot Table for Data Exchange'!$F$93)*100</f>
        <v>0</v>
      </c>
      <c r="I135" s="384" t="s">
        <v>887</v>
      </c>
      <c r="J135" s="378">
        <f>('Pivot Table for Data Exchange'!$F$96)*100</f>
        <v>0</v>
      </c>
      <c r="K135" s="378">
        <f>('Pivot Table for Data Exchange'!$F$99)*100</f>
        <v>0</v>
      </c>
      <c r="L135" s="379">
        <f t="shared" si="31"/>
        <v>0</v>
      </c>
      <c r="M135" s="378">
        <f>('Pivot Table for Data Exchange'!$F$102)*100</f>
        <v>0</v>
      </c>
      <c r="N135" s="378">
        <f>('Pivot Table for Data Exchange'!$F$105)*100</f>
        <v>0</v>
      </c>
      <c r="O135" s="386">
        <f>('Pivot Table for Data Exchange'!$F$108)*100</f>
        <v>0</v>
      </c>
      <c r="P135" s="378">
        <f>('Pivot Table for Data Exchange'!$F$111)*100</f>
        <v>0</v>
      </c>
      <c r="Q135" s="383">
        <f t="shared" si="14"/>
        <v>0</v>
      </c>
      <c r="R135" s="383">
        <f t="shared" si="15"/>
        <v>0</v>
      </c>
      <c r="S135" s="384"/>
      <c r="T135" s="358"/>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row>
    <row r="136" spans="1:41" ht="15.75" customHeight="1">
      <c r="A136" s="349" t="s">
        <v>925</v>
      </c>
      <c r="B136" s="378">
        <f>('Pivot Table for Data Exchange'!$F$114)*100</f>
        <v>0</v>
      </c>
      <c r="C136" s="378">
        <f>('Pivot Table for Data Exchange'!$F$117)*100</f>
        <v>0</v>
      </c>
      <c r="D136" s="379">
        <f t="shared" si="30"/>
        <v>0</v>
      </c>
      <c r="E136" s="378">
        <f>('Pivot Table for Data Exchange'!$F$120)*100</f>
        <v>0</v>
      </c>
      <c r="F136" s="387">
        <f>('Pivot Table for Data Exchange'!$F$123)*100</f>
        <v>0</v>
      </c>
      <c r="G136" s="389">
        <f>('Pivot Table for Data Exchange'!$F$126)*100</f>
        <v>0</v>
      </c>
      <c r="H136" s="378">
        <f>('Pivot Table for Data Exchange'!$F$129)*100</f>
        <v>0</v>
      </c>
      <c r="I136" s="384" t="s">
        <v>925</v>
      </c>
      <c r="J136" s="378">
        <f>('Pivot Table for Data Exchange'!$F$132)*100</f>
        <v>0</v>
      </c>
      <c r="K136" s="378">
        <f>('Pivot Table for Data Exchange'!$F$135)*100</f>
        <v>0</v>
      </c>
      <c r="L136" s="379">
        <f t="shared" si="31"/>
        <v>0</v>
      </c>
      <c r="M136" s="378">
        <f>('Pivot Table for Data Exchange'!$F$138)*100</f>
        <v>0</v>
      </c>
      <c r="N136" s="378">
        <f>('Pivot Table for Data Exchange'!$F$141)*100</f>
        <v>0</v>
      </c>
      <c r="O136" s="386">
        <f>('Pivot Table for Data Exchange'!$F$144)*100</f>
        <v>0</v>
      </c>
      <c r="P136" s="378">
        <f>('Pivot Table for Data Exchange'!$F$147)*100</f>
        <v>0</v>
      </c>
      <c r="Q136" s="383">
        <f t="shared" si="14"/>
        <v>0</v>
      </c>
      <c r="R136" s="383">
        <f t="shared" si="15"/>
        <v>0</v>
      </c>
      <c r="S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row>
    <row r="137" spans="1:41" ht="15.75" customHeight="1">
      <c r="B137" s="378"/>
      <c r="C137" s="378"/>
      <c r="D137" s="379"/>
      <c r="E137" s="378"/>
      <c r="F137" s="378"/>
      <c r="G137" s="386"/>
      <c r="H137" s="378"/>
      <c r="I137" s="384"/>
      <c r="J137" s="378"/>
      <c r="K137" s="378"/>
      <c r="L137" s="379"/>
      <c r="M137" s="378"/>
      <c r="N137" s="378"/>
      <c r="O137" s="386"/>
      <c r="P137" s="378"/>
      <c r="Q137" s="383">
        <f t="shared" si="14"/>
        <v>0</v>
      </c>
      <c r="R137" s="383">
        <f t="shared" si="15"/>
        <v>0</v>
      </c>
      <c r="S137" s="384"/>
      <c r="U137" s="384"/>
      <c r="V137" s="384"/>
      <c r="W137" s="384"/>
      <c r="X137" s="384"/>
      <c r="Y137" s="384"/>
      <c r="Z137" s="384"/>
      <c r="AA137" s="384"/>
      <c r="AB137" s="384"/>
      <c r="AC137" s="384"/>
      <c r="AD137" s="384"/>
      <c r="AE137" s="384"/>
      <c r="AF137" s="384"/>
      <c r="AG137" s="384"/>
      <c r="AH137" s="384"/>
      <c r="AI137" s="384"/>
      <c r="AJ137" s="384"/>
      <c r="AK137" s="384"/>
      <c r="AL137" s="384"/>
      <c r="AM137" s="384"/>
      <c r="AN137" s="384"/>
      <c r="AO137" s="384"/>
    </row>
    <row r="138" spans="1:41" ht="15.75" customHeight="1">
      <c r="A138" s="349" t="s">
        <v>889</v>
      </c>
      <c r="B138" s="378">
        <f>('Pivot Table for Data Exchange'!$F$150)*100</f>
        <v>83.191611893151986</v>
      </c>
      <c r="C138" s="378">
        <f>('Pivot Table for Data Exchange'!$F$153)*100</f>
        <v>2.0079522177238589</v>
      </c>
      <c r="D138" s="379">
        <f t="shared" ref="D138:D141" si="32">SUM(E138:G138)</f>
        <v>14.800435889124152</v>
      </c>
      <c r="E138" s="378">
        <f>('Pivot Table for Data Exchange'!$F$156)*100</f>
        <v>14.673255581380914</v>
      </c>
      <c r="F138" s="378">
        <f>('Pivot Table for Data Exchange'!$F$159)*100</f>
        <v>2.7036160865157147E-2</v>
      </c>
      <c r="G138" s="386">
        <f>('Pivot Table for Data Exchange'!$F$162)*100</f>
        <v>0.10014414687808208</v>
      </c>
      <c r="H138" s="378">
        <f>('Pivot Table for Data Exchange'!$F$165)*100</f>
        <v>0</v>
      </c>
      <c r="I138" s="384" t="s">
        <v>889</v>
      </c>
      <c r="J138" s="378">
        <f>('Pivot Table for Data Exchange'!$F$168)*100</f>
        <v>73.420236346916639</v>
      </c>
      <c r="K138" s="378">
        <f>('Pivot Table for Data Exchange'!$F$171)*100</f>
        <v>7.910484634705389</v>
      </c>
      <c r="L138" s="379">
        <f t="shared" ref="L138:L141" si="33">SUM(M138:O138)</f>
        <v>18.669279018377964</v>
      </c>
      <c r="M138" s="378">
        <f>('Pivot Table for Data Exchange'!$F$174)*100</f>
        <v>18.660014548648761</v>
      </c>
      <c r="N138" s="378">
        <f>('Pivot Table for Data Exchange'!$F$177)*100</f>
        <v>0</v>
      </c>
      <c r="O138" s="386">
        <f>('Pivot Table for Data Exchange'!$F$180)*100</f>
        <v>9.2644697292029819E-3</v>
      </c>
      <c r="P138" s="378">
        <f>('Pivot Table for Data Exchange'!$F$183)*100</f>
        <v>0</v>
      </c>
      <c r="Q138" s="383">
        <f t="shared" si="14"/>
        <v>100</v>
      </c>
      <c r="R138" s="383">
        <f t="shared" si="15"/>
        <v>99.999999999999986</v>
      </c>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row>
    <row r="139" spans="1:41" ht="15.75" customHeight="1">
      <c r="A139" s="349" t="s">
        <v>890</v>
      </c>
      <c r="B139" s="378">
        <f>('Pivot Table for Data Exchange'!$F$186)*100</f>
        <v>75.690865361017032</v>
      </c>
      <c r="C139" s="378">
        <f>('Pivot Table for Data Exchange'!$F$189)*100</f>
        <v>0</v>
      </c>
      <c r="D139" s="379">
        <f t="shared" si="32"/>
        <v>24.309134638982968</v>
      </c>
      <c r="E139" s="378">
        <f>('Pivot Table for Data Exchange'!$F$192)*100</f>
        <v>24.306680410347028</v>
      </c>
      <c r="F139" s="378">
        <f>('Pivot Table for Data Exchange'!$F$195)*100</f>
        <v>2.4542286359397242E-3</v>
      </c>
      <c r="G139" s="389">
        <f>('Pivot Table for Data Exchange'!$F$198)*100</f>
        <v>0</v>
      </c>
      <c r="H139" s="378">
        <f>('Pivot Table for Data Exchange'!$F$201)*100</f>
        <v>0</v>
      </c>
      <c r="I139" s="384" t="s">
        <v>890</v>
      </c>
      <c r="J139" s="378">
        <f>('Pivot Table for Data Exchange'!$F$204)*100</f>
        <v>81.293402777777786</v>
      </c>
      <c r="K139" s="378">
        <f>('Pivot Table for Data Exchange'!$F$207)*100</f>
        <v>0</v>
      </c>
      <c r="L139" s="379">
        <f t="shared" si="33"/>
        <v>18.706597222222221</v>
      </c>
      <c r="M139" s="378">
        <f>('Pivot Table for Data Exchange'!$F$210)*100</f>
        <v>18.706597222222221</v>
      </c>
      <c r="N139" s="378">
        <f>('Pivot Table for Data Exchange'!$F$213)*100</f>
        <v>0</v>
      </c>
      <c r="O139" s="386">
        <f>('Pivot Table for Data Exchange'!$F$216)*100</f>
        <v>0</v>
      </c>
      <c r="P139" s="378">
        <f>('Pivot Table for Data Exchange'!$F$219)*100</f>
        <v>0</v>
      </c>
      <c r="Q139" s="383">
        <f t="shared" ref="Q139:Q202" si="34">SUM(B139,C139,D139,H139)</f>
        <v>100</v>
      </c>
      <c r="R139" s="383">
        <f t="shared" ref="R139:R202" si="35">SUM(J139,K139,L139,P139)</f>
        <v>100</v>
      </c>
      <c r="S139" s="384"/>
      <c r="T139" s="384"/>
      <c r="U139" s="384"/>
      <c r="V139" s="384"/>
      <c r="W139" s="384"/>
      <c r="X139" s="384"/>
      <c r="Y139" s="384"/>
      <c r="Z139" s="384"/>
      <c r="AA139" s="384"/>
      <c r="AB139" s="384"/>
      <c r="AC139" s="384"/>
      <c r="AD139" s="384"/>
      <c r="AE139" s="384"/>
      <c r="AF139" s="384"/>
      <c r="AG139" s="384"/>
      <c r="AH139" s="384"/>
      <c r="AI139" s="384"/>
      <c r="AJ139" s="384"/>
      <c r="AK139" s="384"/>
      <c r="AL139" s="384"/>
      <c r="AM139" s="384"/>
      <c r="AN139" s="384"/>
      <c r="AO139" s="384"/>
    </row>
    <row r="140" spans="1:41" ht="15.75" customHeight="1">
      <c r="A140" s="349" t="s">
        <v>891</v>
      </c>
      <c r="B140" s="378">
        <f>('Pivot Table for Data Exchange'!$F$222)*100</f>
        <v>76.418156853711153</v>
      </c>
      <c r="C140" s="378">
        <f>('Pivot Table for Data Exchange'!$F$225)*100</f>
        <v>0</v>
      </c>
      <c r="D140" s="379">
        <f t="shared" si="32"/>
        <v>23.581843146288854</v>
      </c>
      <c r="E140" s="378">
        <f>('Pivot Table for Data Exchange'!$F$228)*100</f>
        <v>23.581843146288854</v>
      </c>
      <c r="F140" s="378">
        <f>('Pivot Table for Data Exchange'!$F$231)*100</f>
        <v>0</v>
      </c>
      <c r="G140" s="386">
        <f>('Pivot Table for Data Exchange'!$F$234)*100</f>
        <v>0</v>
      </c>
      <c r="H140" s="378">
        <f>('Pivot Table for Data Exchange'!$F$237)*100</f>
        <v>0</v>
      </c>
      <c r="I140" s="384" t="s">
        <v>891</v>
      </c>
      <c r="J140" s="378">
        <f>('Pivot Table for Data Exchange'!$F$240)*100</f>
        <v>46.041173186569956</v>
      </c>
      <c r="K140" s="378">
        <f>('Pivot Table for Data Exchange'!$F$243)*100</f>
        <v>0</v>
      </c>
      <c r="L140" s="379">
        <f t="shared" si="33"/>
        <v>53.958826813430051</v>
      </c>
      <c r="M140" s="378">
        <f>('Pivot Table for Data Exchange'!$F$246)*100</f>
        <v>53.958826813430051</v>
      </c>
      <c r="N140" s="378">
        <f>('Pivot Table for Data Exchange'!$F$249)*100</f>
        <v>0</v>
      </c>
      <c r="O140" s="386">
        <f>('Pivot Table for Data Exchange'!$F$252)*100</f>
        <v>0</v>
      </c>
      <c r="P140" s="378">
        <f>('Pivot Table for Data Exchange'!$F$255)*100</f>
        <v>0</v>
      </c>
      <c r="Q140" s="383">
        <f t="shared" si="34"/>
        <v>100</v>
      </c>
      <c r="R140" s="383">
        <f t="shared" si="35"/>
        <v>100</v>
      </c>
      <c r="S140" s="384"/>
      <c r="T140" s="358"/>
      <c r="U140" s="384"/>
      <c r="V140" s="384"/>
      <c r="W140" s="384"/>
      <c r="X140" s="384"/>
      <c r="Y140" s="384"/>
      <c r="Z140" s="384"/>
      <c r="AA140" s="384"/>
      <c r="AB140" s="384"/>
      <c r="AC140" s="384"/>
      <c r="AD140" s="384"/>
      <c r="AE140" s="384"/>
      <c r="AF140" s="384"/>
      <c r="AG140" s="384"/>
      <c r="AH140" s="384"/>
      <c r="AI140" s="384"/>
      <c r="AJ140" s="384"/>
      <c r="AK140" s="384"/>
      <c r="AL140" s="384"/>
      <c r="AM140" s="384"/>
      <c r="AN140" s="384"/>
      <c r="AO140" s="384"/>
    </row>
    <row r="141" spans="1:41" ht="15.75" customHeight="1">
      <c r="A141" s="349" t="s">
        <v>892</v>
      </c>
      <c r="B141" s="378">
        <f>('Pivot Table for Data Exchange'!$F$258)*100</f>
        <v>83.731853261587332</v>
      </c>
      <c r="C141" s="378">
        <f>('Pivot Table for Data Exchange'!$F$261)*100</f>
        <v>1.6821819093060977</v>
      </c>
      <c r="D141" s="379">
        <f t="shared" si="32"/>
        <v>14.585964829106572</v>
      </c>
      <c r="E141" s="378">
        <f>('Pivot Table for Data Exchange'!$F$264)*100</f>
        <v>13.317259338776367</v>
      </c>
      <c r="F141" s="378">
        <f>('Pivot Table for Data Exchange'!$F$267)*100</f>
        <v>1.2687054903302055</v>
      </c>
      <c r="G141" s="386">
        <f>('Pivot Table for Data Exchange'!$F$270)*100</f>
        <v>0</v>
      </c>
      <c r="H141" s="378">
        <f>('Pivot Table for Data Exchange'!$F$273)*100</f>
        <v>0</v>
      </c>
      <c r="I141" s="384" t="s">
        <v>892</v>
      </c>
      <c r="J141" s="378">
        <f>('Pivot Table for Data Exchange'!$F$276)*100</f>
        <v>61.93291908866172</v>
      </c>
      <c r="K141" s="378">
        <f>('Pivot Table for Data Exchange'!$F$279)*100</f>
        <v>2.1998396472238926</v>
      </c>
      <c r="L141" s="379">
        <f t="shared" si="33"/>
        <v>35.867241264114384</v>
      </c>
      <c r="M141" s="378">
        <f>('Pivot Table for Data Exchange'!$F$282)*100</f>
        <v>30.338411171243401</v>
      </c>
      <c r="N141" s="378">
        <f>('Pivot Table for Data Exchange'!$F$285)*100</f>
        <v>5.528830092870983</v>
      </c>
      <c r="O141" s="386">
        <f>('Pivot Table for Data Exchange'!$F$288)*100</f>
        <v>0</v>
      </c>
      <c r="P141" s="378">
        <f>('Pivot Table for Data Exchange'!$F$291)*100</f>
        <v>0</v>
      </c>
      <c r="Q141" s="383">
        <f t="shared" si="34"/>
        <v>100</v>
      </c>
      <c r="R141" s="383">
        <f t="shared" si="35"/>
        <v>100</v>
      </c>
      <c r="S141" s="384"/>
      <c r="U141" s="384"/>
      <c r="V141" s="384"/>
      <c r="W141" s="384"/>
      <c r="X141" s="384"/>
      <c r="Y141" s="384"/>
      <c r="Z141" s="384"/>
      <c r="AA141" s="384"/>
      <c r="AB141" s="384"/>
      <c r="AC141" s="384"/>
      <c r="AD141" s="384"/>
      <c r="AE141" s="384"/>
      <c r="AF141" s="384"/>
      <c r="AG141" s="384"/>
      <c r="AH141" s="384"/>
      <c r="AI141" s="384"/>
      <c r="AJ141" s="384"/>
      <c r="AK141" s="384"/>
      <c r="AL141" s="384"/>
      <c r="AM141" s="384"/>
      <c r="AN141" s="384"/>
      <c r="AO141" s="384"/>
    </row>
    <row r="142" spans="1:41" ht="15.75" customHeight="1">
      <c r="B142" s="378"/>
      <c r="C142" s="378"/>
      <c r="D142" s="379"/>
      <c r="E142" s="378"/>
      <c r="F142" s="378"/>
      <c r="G142" s="386"/>
      <c r="H142" s="378"/>
      <c r="I142" s="384"/>
      <c r="J142" s="378"/>
      <c r="K142" s="378"/>
      <c r="L142" s="379"/>
      <c r="M142" s="378"/>
      <c r="N142" s="378"/>
      <c r="O142" s="386"/>
      <c r="P142" s="378"/>
      <c r="Q142" s="383">
        <f t="shared" si="34"/>
        <v>0</v>
      </c>
      <c r="R142" s="383">
        <f t="shared" si="35"/>
        <v>0</v>
      </c>
      <c r="S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row>
    <row r="143" spans="1:41" ht="15.75" customHeight="1">
      <c r="A143" s="349" t="s">
        <v>893</v>
      </c>
      <c r="B143" s="378">
        <f>('Pivot Table for Data Exchange'!$F$294)*100</f>
        <v>77.560536649214669</v>
      </c>
      <c r="C143" s="378">
        <f>('Pivot Table for Data Exchange'!$F$297)*100</f>
        <v>3.0754350169387124</v>
      </c>
      <c r="D143" s="379">
        <f t="shared" ref="D143:D145" si="36">SUM(E143:G143)</f>
        <v>18.949703572528488</v>
      </c>
      <c r="E143" s="378">
        <f>('Pivot Table for Data Exchange'!$F$300)*100</f>
        <v>18.899176162611642</v>
      </c>
      <c r="F143" s="378">
        <f>('Pivot Table for Data Exchange'!$F$303)*100</f>
        <v>0</v>
      </c>
      <c r="G143" s="385">
        <f>('Pivot Table for Data Exchange'!$F$306)*100</f>
        <v>5.0527409916846316E-2</v>
      </c>
      <c r="H143" s="378">
        <f>('Pivot Table for Data Exchange'!$F$309)*100</f>
        <v>0.41432476131813983</v>
      </c>
      <c r="I143" s="384" t="s">
        <v>893</v>
      </c>
      <c r="J143" s="378">
        <f>('Pivot Table for Data Exchange'!$F$312)*100</f>
        <v>23.16813248732208</v>
      </c>
      <c r="K143" s="378">
        <f>('Pivot Table for Data Exchange'!$F$315)*100</f>
        <v>1.3670104608148166</v>
      </c>
      <c r="L143" s="379">
        <f t="shared" ref="L143:L145" si="37">SUM(M143:O143)</f>
        <v>75.207623900634516</v>
      </c>
      <c r="M143" s="378">
        <f>('Pivot Table for Data Exchange'!$F$318)*100</f>
        <v>75.075332565716948</v>
      </c>
      <c r="N143" s="378">
        <f>('Pivot Table for Data Exchange'!$F$321)*100</f>
        <v>0</v>
      </c>
      <c r="O143" s="386">
        <f>('Pivot Table for Data Exchange'!$F$324)*100</f>
        <v>0.1322913349175629</v>
      </c>
      <c r="P143" s="378">
        <f>('Pivot Table for Data Exchange'!$F$327)*100</f>
        <v>0.25723315122859453</v>
      </c>
      <c r="Q143" s="383">
        <f t="shared" si="34"/>
        <v>100.00000000000001</v>
      </c>
      <c r="R143" s="383">
        <f t="shared" si="35"/>
        <v>100</v>
      </c>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4"/>
    </row>
    <row r="144" spans="1:41" ht="15.75" customHeight="1">
      <c r="A144" s="349" t="s">
        <v>894</v>
      </c>
      <c r="B144" s="378">
        <f>('Pivot Table for Data Exchange'!$F$330)*100</f>
        <v>68.868268814878903</v>
      </c>
      <c r="C144" s="378">
        <f>('Pivot Table for Data Exchange'!$F$333)*100</f>
        <v>1.0454963235294117</v>
      </c>
      <c r="D144" s="379">
        <f t="shared" si="36"/>
        <v>30.086234861591691</v>
      </c>
      <c r="E144" s="378">
        <f>('Pivot Table for Data Exchange'!$F$336)*100</f>
        <v>30.086234861591691</v>
      </c>
      <c r="F144" s="378">
        <f>('Pivot Table for Data Exchange'!$F$339)*100</f>
        <v>0</v>
      </c>
      <c r="G144" s="389">
        <f>('Pivot Table for Data Exchange'!$F$342)*100</f>
        <v>0</v>
      </c>
      <c r="H144" s="378">
        <f>('Pivot Table for Data Exchange'!$F$345)*100</f>
        <v>0</v>
      </c>
      <c r="I144" s="384" t="s">
        <v>894</v>
      </c>
      <c r="J144" s="378">
        <f>('Pivot Table for Data Exchange'!$F$348)*100</f>
        <v>45.270216332721319</v>
      </c>
      <c r="K144" s="378">
        <f>('Pivot Table for Data Exchange'!$F$351)*100</f>
        <v>12.117825496926638</v>
      </c>
      <c r="L144" s="379">
        <f t="shared" si="37"/>
        <v>42.61195817035204</v>
      </c>
      <c r="M144" s="378">
        <f>('Pivot Table for Data Exchange'!$F$354)*100</f>
        <v>42.61195817035204</v>
      </c>
      <c r="N144" s="378">
        <f>('Pivot Table for Data Exchange'!$F$357)*100</f>
        <v>0</v>
      </c>
      <c r="O144" s="386">
        <f>('Pivot Table for Data Exchange'!$F$360)*100</f>
        <v>0</v>
      </c>
      <c r="P144" s="378">
        <f>('Pivot Table for Data Exchange'!$F$363)*100</f>
        <v>0</v>
      </c>
      <c r="Q144" s="383">
        <f t="shared" si="34"/>
        <v>100</v>
      </c>
      <c r="R144" s="383">
        <f t="shared" si="35"/>
        <v>100</v>
      </c>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row>
    <row r="145" spans="1:41" ht="15.75" customHeight="1">
      <c r="A145" s="349" t="s">
        <v>895</v>
      </c>
      <c r="B145" s="378">
        <f>('Pivot Table for Data Exchange'!$F$366)*100</f>
        <v>72.253117133992859</v>
      </c>
      <c r="C145" s="378">
        <f>('Pivot Table for Data Exchange'!$F$369)*100</f>
        <v>0.77269800386349008</v>
      </c>
      <c r="D145" s="379">
        <f t="shared" si="36"/>
        <v>26.974184862143652</v>
      </c>
      <c r="E145" s="378">
        <f>('Pivot Table for Data Exchange'!$F$372)*100</f>
        <v>24.821947745321861</v>
      </c>
      <c r="F145" s="378">
        <f>('Pivot Table for Data Exchange'!$F$375)*100</f>
        <v>2.1522371168217918</v>
      </c>
      <c r="G145" s="386">
        <f>('Pivot Table for Data Exchange'!$F$378)*100</f>
        <v>0</v>
      </c>
      <c r="H145" s="378">
        <f>('Pivot Table for Data Exchange'!$F$381)*100</f>
        <v>0</v>
      </c>
      <c r="I145" s="384" t="s">
        <v>895</v>
      </c>
      <c r="J145" s="378">
        <f>('Pivot Table for Data Exchange'!$F$384)*100</f>
        <v>40.951312542068656</v>
      </c>
      <c r="K145" s="378">
        <f>('Pivot Table for Data Exchange'!$F$387)*100</f>
        <v>5.6540273726722008</v>
      </c>
      <c r="L145" s="379">
        <f t="shared" si="37"/>
        <v>53.394660085259147</v>
      </c>
      <c r="M145" s="378">
        <f>('Pivot Table for Data Exchange'!$F$390)*100</f>
        <v>49.252860668611177</v>
      </c>
      <c r="N145" s="378">
        <f>('Pivot Table for Data Exchange'!$F$393)*100</f>
        <v>4.137312093336325</v>
      </c>
      <c r="O145" s="386">
        <f>('Pivot Table for Data Exchange'!$F$396)*100</f>
        <v>4.4873233116446039E-3</v>
      </c>
      <c r="P145" s="378">
        <f>('Pivot Table for Data Exchange'!$F$399)*100</f>
        <v>0</v>
      </c>
      <c r="Q145" s="383">
        <f t="shared" si="34"/>
        <v>100</v>
      </c>
      <c r="R145" s="383">
        <f t="shared" si="35"/>
        <v>100</v>
      </c>
      <c r="S145" s="384"/>
      <c r="T145" s="358"/>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row>
    <row r="146" spans="1:41" ht="15.75" customHeight="1">
      <c r="A146" s="349" t="s">
        <v>896</v>
      </c>
      <c r="B146" s="378">
        <f>('Pivot Table for Data Exchange'!$F$402)*100</f>
        <v>0</v>
      </c>
      <c r="C146" s="378">
        <f>('Pivot Table for Data Exchange'!$F$405)*100</f>
        <v>0</v>
      </c>
      <c r="D146" s="379">
        <f>SUM(E146:G146)</f>
        <v>0</v>
      </c>
      <c r="E146" s="378">
        <f>('Pivot Table for Data Exchange'!$F$408)*100</f>
        <v>0</v>
      </c>
      <c r="F146" s="378">
        <f>('Pivot Table for Data Exchange'!$F$411)*100</f>
        <v>0</v>
      </c>
      <c r="G146" s="386">
        <f>('Pivot Table for Data Exchange'!$F$414)*100</f>
        <v>0</v>
      </c>
      <c r="H146" s="378">
        <f>('Pivot Table for Data Exchange'!$F$417)*100</f>
        <v>0</v>
      </c>
      <c r="I146" s="384" t="s">
        <v>896</v>
      </c>
      <c r="J146" s="378">
        <f>('Pivot Table for Data Exchange'!$F$420)*100</f>
        <v>0</v>
      </c>
      <c r="K146" s="378">
        <f>('Pivot Table for Data Exchange'!$F$423)*100</f>
        <v>0</v>
      </c>
      <c r="L146" s="379">
        <f>SUM(M146:O146)</f>
        <v>0</v>
      </c>
      <c r="M146" s="378">
        <f>('Pivot Table for Data Exchange'!$F$426)*100</f>
        <v>0</v>
      </c>
      <c r="N146" s="378">
        <f>('Pivot Table for Data Exchange'!$F$429)*100</f>
        <v>0</v>
      </c>
      <c r="O146" s="386">
        <f>('Pivot Table for Data Exchange'!$F$432)*100</f>
        <v>0</v>
      </c>
      <c r="P146" s="378">
        <f>('Pivot Table for Data Exchange'!$F$435)*100</f>
        <v>0</v>
      </c>
      <c r="Q146" s="383">
        <f t="shared" si="34"/>
        <v>0</v>
      </c>
      <c r="R146" s="383">
        <f t="shared" si="35"/>
        <v>0</v>
      </c>
      <c r="S146" s="384"/>
      <c r="T146" s="384"/>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row>
    <row r="147" spans="1:41" ht="15.75" customHeight="1">
      <c r="B147" s="378"/>
      <c r="C147" s="378"/>
      <c r="D147" s="379"/>
      <c r="E147" s="378"/>
      <c r="F147" s="378"/>
      <c r="G147" s="386"/>
      <c r="H147" s="378"/>
      <c r="I147" s="384"/>
      <c r="J147" s="378"/>
      <c r="K147" s="378"/>
      <c r="L147" s="379"/>
      <c r="M147" s="378"/>
      <c r="N147" s="378"/>
      <c r="O147" s="386"/>
      <c r="P147" s="378"/>
      <c r="Q147" s="383">
        <f t="shared" si="34"/>
        <v>0</v>
      </c>
      <c r="R147" s="383">
        <f t="shared" si="35"/>
        <v>0</v>
      </c>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row>
    <row r="148" spans="1:41" ht="15.75" customHeight="1">
      <c r="A148" s="349" t="s">
        <v>897</v>
      </c>
      <c r="B148" s="378">
        <f>('Pivot Table for Data Exchange'!$F$438)*100</f>
        <v>0</v>
      </c>
      <c r="C148" s="378">
        <f>('Pivot Table for Data Exchange'!$F$441)*100</f>
        <v>0</v>
      </c>
      <c r="D148" s="379">
        <f>SUM(E148:G148)</f>
        <v>0</v>
      </c>
      <c r="E148" s="378">
        <f>('Pivot Table for Data Exchange'!$F$444)*100</f>
        <v>0</v>
      </c>
      <c r="F148" s="378">
        <f>('Pivot Table for Data Exchange'!$F$447)*100</f>
        <v>0</v>
      </c>
      <c r="G148" s="386">
        <f>('Pivot Table for Data Exchange'!$F$450)*100</f>
        <v>0</v>
      </c>
      <c r="H148" s="378">
        <f>('Pivot Table for Data Exchange'!$F$453)*100</f>
        <v>0</v>
      </c>
      <c r="I148" s="384" t="s">
        <v>897</v>
      </c>
      <c r="J148" s="378">
        <f>('Pivot Table for Data Exchange'!$F$456)*100</f>
        <v>0</v>
      </c>
      <c r="K148" s="378">
        <f>('Pivot Table for Data Exchange'!$F$459)*100</f>
        <v>0</v>
      </c>
      <c r="L148" s="379">
        <f>SUM(M148:O148)</f>
        <v>0</v>
      </c>
      <c r="M148" s="378">
        <f>('Pivot Table for Data Exchange'!$F$462)*100</f>
        <v>0</v>
      </c>
      <c r="N148" s="378">
        <f>('Pivot Table for Data Exchange'!$F$465)*100</f>
        <v>0</v>
      </c>
      <c r="O148" s="386">
        <f>('Pivot Table for Data Exchange'!$F$468)*100</f>
        <v>0</v>
      </c>
      <c r="P148" s="378">
        <f>('Pivot Table for Data Exchange'!$F$471)*100</f>
        <v>0</v>
      </c>
      <c r="Q148" s="383">
        <f t="shared" si="34"/>
        <v>0</v>
      </c>
      <c r="R148" s="383">
        <f t="shared" si="35"/>
        <v>0</v>
      </c>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row>
    <row r="149" spans="1:41" ht="15.75" customHeight="1">
      <c r="A149" s="349" t="s">
        <v>898</v>
      </c>
      <c r="B149" s="378">
        <f>('Pivot Table for Data Exchange'!$F$474)*100</f>
        <v>44.115701112351651</v>
      </c>
      <c r="C149" s="378">
        <f>('Pivot Table for Data Exchange'!$F$477)*100</f>
        <v>6.578312588733132</v>
      </c>
      <c r="D149" s="379">
        <f>SUM(E149:G149)</f>
        <v>49.305986298915215</v>
      </c>
      <c r="E149" s="378">
        <f>('Pivot Table for Data Exchange'!$F$480)*100</f>
        <v>47.757377772264263</v>
      </c>
      <c r="F149" s="378">
        <f>('Pivot Table for Data Exchange'!$F$483)*100</f>
        <v>1.5486085266509531</v>
      </c>
      <c r="G149" s="386">
        <f>('Pivot Table for Data Exchange'!$F$486)*100</f>
        <v>0</v>
      </c>
      <c r="H149" s="378">
        <f>('Pivot Table for Data Exchange'!$F$489)*100</f>
        <v>0</v>
      </c>
      <c r="I149" s="384" t="s">
        <v>898</v>
      </c>
      <c r="J149" s="378">
        <f>('Pivot Table for Data Exchange'!$F$492)*100</f>
        <v>23.906741503731574</v>
      </c>
      <c r="K149" s="378">
        <f>('Pivot Table for Data Exchange'!$F$495)*100</f>
        <v>7.9658298895947697</v>
      </c>
      <c r="L149" s="379">
        <f>SUM(M149:O149)</f>
        <v>74.131869487448341</v>
      </c>
      <c r="M149" s="378">
        <f>('Pivot Table for Data Exchange'!$F$498)*100</f>
        <v>72.540553876518842</v>
      </c>
      <c r="N149" s="378">
        <f>('Pivot Table for Data Exchange'!$F$501)*100</f>
        <v>1.5913156109295012</v>
      </c>
      <c r="O149" s="386">
        <f>('Pivot Table for Data Exchange'!$F$504)*100</f>
        <v>0</v>
      </c>
      <c r="P149" s="378">
        <f>('Pivot Table for Data Exchange'!$F$507)*100</f>
        <v>0</v>
      </c>
      <c r="Q149" s="383">
        <f t="shared" si="34"/>
        <v>100</v>
      </c>
      <c r="R149" s="383">
        <f t="shared" si="35"/>
        <v>106.00444088077468</v>
      </c>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row>
    <row r="150" spans="1:41" ht="15.75" customHeight="1">
      <c r="A150" s="349" t="s">
        <v>899</v>
      </c>
      <c r="B150" s="378">
        <f>('Pivot Table for Data Exchange'!$F$510)*100</f>
        <v>0</v>
      </c>
      <c r="C150" s="378">
        <f>('Pivot Table for Data Exchange'!$F$513)*100</f>
        <v>0</v>
      </c>
      <c r="D150" s="379">
        <f t="shared" ref="D150" si="38">SUM(E150:G150)</f>
        <v>0</v>
      </c>
      <c r="E150" s="378">
        <f>('Pivot Table for Data Exchange'!$F$516)*100</f>
        <v>0</v>
      </c>
      <c r="F150" s="378">
        <f>('Pivot Table for Data Exchange'!$F$519)*100</f>
        <v>0</v>
      </c>
      <c r="G150" s="386">
        <f>('Pivot Table for Data Exchange'!$F$522)*100</f>
        <v>0</v>
      </c>
      <c r="H150" s="378">
        <f>('Pivot Table for Data Exchange'!$F$525)*100</f>
        <v>0</v>
      </c>
      <c r="I150" s="384" t="s">
        <v>899</v>
      </c>
      <c r="J150" s="378">
        <f>('Pivot Table for Data Exchange'!$F$528)*100</f>
        <v>0</v>
      </c>
      <c r="K150" s="378">
        <f>('Pivot Table for Data Exchange'!$F$531)*100</f>
        <v>0</v>
      </c>
      <c r="L150" s="379">
        <f t="shared" ref="L150" si="39">SUM(M150:O150)</f>
        <v>0</v>
      </c>
      <c r="M150" s="378">
        <f>('Pivot Table for Data Exchange'!$F$534)*100</f>
        <v>0</v>
      </c>
      <c r="N150" s="378">
        <f>('Pivot Table for Data Exchange'!$F$537)*100</f>
        <v>0</v>
      </c>
      <c r="O150" s="386">
        <f>('Pivot Table for Data Exchange'!$F$540)*100</f>
        <v>0</v>
      </c>
      <c r="P150" s="378">
        <f>('Pivot Table for Data Exchange'!$F$543)*100</f>
        <v>0</v>
      </c>
      <c r="Q150" s="383">
        <f t="shared" si="34"/>
        <v>0</v>
      </c>
      <c r="R150" s="383">
        <f t="shared" si="35"/>
        <v>0</v>
      </c>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row>
    <row r="151" spans="1:41" ht="15.75" customHeight="1">
      <c r="A151" s="355" t="s">
        <v>900</v>
      </c>
      <c r="B151" s="391">
        <f>('Pivot Table for Data Exchange'!$F$546)*100</f>
        <v>0</v>
      </c>
      <c r="C151" s="391">
        <f>('Pivot Table for Data Exchange'!$F$549)*100</f>
        <v>0</v>
      </c>
      <c r="D151" s="392">
        <f>SUM(E151:G151)</f>
        <v>0</v>
      </c>
      <c r="E151" s="391">
        <f>('Pivot Table for Data Exchange'!$F$552)*100</f>
        <v>0</v>
      </c>
      <c r="F151" s="391">
        <f>('Pivot Table for Data Exchange'!$F$555)*100</f>
        <v>0</v>
      </c>
      <c r="G151" s="393">
        <f>('Pivot Table for Data Exchange'!$F$558)*100</f>
        <v>0</v>
      </c>
      <c r="H151" s="391">
        <f>('Pivot Table for Data Exchange'!$F$561)*100</f>
        <v>0</v>
      </c>
      <c r="I151" s="394" t="s">
        <v>900</v>
      </c>
      <c r="J151" s="391">
        <f>('Pivot Table for Data Exchange'!$F$564)*100</f>
        <v>0</v>
      </c>
      <c r="K151" s="391">
        <f>('Pivot Table for Data Exchange'!$F$567)*100</f>
        <v>0</v>
      </c>
      <c r="L151" s="392">
        <f>SUM(M151:O151)</f>
        <v>0</v>
      </c>
      <c r="M151" s="391">
        <f>('Pivot Table for Data Exchange'!$F$570)*100</f>
        <v>0</v>
      </c>
      <c r="N151" s="391">
        <f>('Pivot Table for Data Exchange'!$F$573)*100</f>
        <v>0</v>
      </c>
      <c r="O151" s="393">
        <f>('Pivot Table for Data Exchange'!$F$576)*100</f>
        <v>0</v>
      </c>
      <c r="P151" s="391">
        <f>('Pivot Table for Data Exchange'!$F$579)*100</f>
        <v>0</v>
      </c>
      <c r="Q151" s="383">
        <f t="shared" si="34"/>
        <v>0</v>
      </c>
      <c r="R151" s="383">
        <f t="shared" si="35"/>
        <v>0</v>
      </c>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row>
    <row r="152" spans="1:41" s="396" customFormat="1" ht="12.75" customHeight="1">
      <c r="A152" s="397" t="s">
        <v>926</v>
      </c>
      <c r="B152" s="398"/>
      <c r="C152" s="398"/>
      <c r="D152" s="399"/>
      <c r="E152" s="398"/>
      <c r="F152" s="399"/>
      <c r="G152" s="399"/>
      <c r="H152" s="398"/>
      <c r="I152" s="397" t="s">
        <v>926</v>
      </c>
      <c r="J152" s="398"/>
      <c r="K152" s="398"/>
      <c r="L152" s="399"/>
      <c r="M152" s="398"/>
      <c r="N152" s="399"/>
      <c r="O152" s="399"/>
      <c r="P152" s="398"/>
      <c r="Q152" s="383"/>
      <c r="R152" s="383"/>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row>
    <row r="153" spans="1:41" s="396" customFormat="1" ht="24" customHeight="1">
      <c r="A153" s="501" t="s">
        <v>932</v>
      </c>
      <c r="B153" s="518"/>
      <c r="C153" s="518"/>
      <c r="D153" s="518"/>
      <c r="E153" s="518"/>
      <c r="F153" s="518"/>
      <c r="G153" s="518"/>
      <c r="H153" s="518"/>
      <c r="I153" s="501" t="s">
        <v>932</v>
      </c>
      <c r="J153" s="518"/>
      <c r="K153" s="518"/>
      <c r="L153" s="518"/>
      <c r="M153" s="518"/>
      <c r="N153" s="518"/>
      <c r="O153" s="518"/>
      <c r="P153" s="518"/>
      <c r="Q153" s="383"/>
      <c r="R153" s="383"/>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row>
    <row r="154" spans="1:41" s="396" customFormat="1" ht="9.75" customHeight="1">
      <c r="A154" s="401"/>
      <c r="B154" s="351"/>
      <c r="C154" s="351"/>
      <c r="D154" s="351"/>
      <c r="E154" s="351"/>
      <c r="F154" s="351"/>
      <c r="G154" s="351"/>
      <c r="H154" s="351"/>
      <c r="I154" s="401"/>
      <c r="J154" s="351"/>
      <c r="K154" s="351"/>
      <c r="L154" s="351"/>
      <c r="M154" s="351"/>
      <c r="N154" s="351"/>
      <c r="O154" s="351"/>
      <c r="P154" s="351"/>
      <c r="Q154" s="383"/>
      <c r="R154" s="383"/>
      <c r="S154" s="400"/>
      <c r="T154" s="400"/>
      <c r="U154" s="400"/>
      <c r="V154" s="400"/>
      <c r="W154" s="400"/>
      <c r="X154" s="400"/>
      <c r="Y154" s="400"/>
      <c r="Z154" s="400"/>
      <c r="AA154" s="400"/>
      <c r="AB154" s="400"/>
      <c r="AC154" s="400"/>
      <c r="AD154" s="400"/>
      <c r="AE154" s="400"/>
      <c r="AF154" s="400"/>
      <c r="AG154" s="400"/>
      <c r="AH154" s="400"/>
      <c r="AI154" s="400"/>
      <c r="AJ154" s="400"/>
      <c r="AK154" s="400"/>
      <c r="AL154" s="400"/>
      <c r="AM154" s="400"/>
      <c r="AN154" s="400"/>
      <c r="AO154" s="400"/>
    </row>
    <row r="155" spans="1:41" s="396" customFormat="1" ht="13.5" customHeight="1">
      <c r="A155" s="407"/>
      <c r="B155" s="408"/>
      <c r="H155" s="402" t="s">
        <v>1007</v>
      </c>
      <c r="I155" s="407"/>
      <c r="P155" s="402" t="s">
        <v>1007</v>
      </c>
      <c r="Q155" s="383"/>
      <c r="R155" s="383"/>
    </row>
    <row r="156" spans="1:41" ht="18">
      <c r="A156" s="344" t="s">
        <v>935</v>
      </c>
      <c r="B156" s="345"/>
      <c r="C156" s="345"/>
      <c r="D156" s="345"/>
      <c r="E156" s="345"/>
      <c r="F156" s="345"/>
      <c r="G156" s="345"/>
      <c r="H156" s="345"/>
      <c r="I156" s="344" t="s">
        <v>936</v>
      </c>
      <c r="J156" s="346"/>
      <c r="K156" s="346"/>
      <c r="L156" s="345"/>
      <c r="M156" s="346"/>
      <c r="N156" s="346"/>
      <c r="O156" s="346"/>
      <c r="P156" s="346"/>
      <c r="Q156" s="383"/>
      <c r="R156" s="383"/>
    </row>
    <row r="157" spans="1:41">
      <c r="A157" s="350"/>
      <c r="B157" s="346"/>
      <c r="C157" s="346"/>
      <c r="D157" s="346"/>
      <c r="E157" s="346"/>
      <c r="F157" s="346"/>
      <c r="G157" s="346"/>
      <c r="H157" s="346"/>
      <c r="I157" s="350"/>
      <c r="J157" s="346"/>
      <c r="K157" s="346"/>
      <c r="L157" s="346"/>
      <c r="M157" s="346"/>
      <c r="N157" s="346"/>
      <c r="O157" s="346"/>
      <c r="P157" s="346"/>
      <c r="Q157" s="383"/>
      <c r="R157" s="383"/>
    </row>
    <row r="158" spans="1:41" ht="15.75">
      <c r="A158" s="352" t="s">
        <v>906</v>
      </c>
      <c r="B158" s="346"/>
      <c r="C158" s="346"/>
      <c r="D158" s="346"/>
      <c r="E158" s="346"/>
      <c r="F158" s="346"/>
      <c r="G158" s="346"/>
      <c r="H158" s="346"/>
      <c r="I158" s="352" t="s">
        <v>907</v>
      </c>
      <c r="J158" s="346"/>
      <c r="K158" s="346"/>
      <c r="L158" s="346"/>
      <c r="M158" s="346"/>
      <c r="N158" s="346"/>
      <c r="O158" s="346"/>
      <c r="P158" s="346"/>
      <c r="Q158" s="383"/>
      <c r="R158" s="383"/>
    </row>
    <row r="159" spans="1:41" ht="15.75">
      <c r="A159" s="352" t="s">
        <v>955</v>
      </c>
      <c r="B159" s="346"/>
      <c r="C159" s="346"/>
      <c r="D159" s="346"/>
      <c r="E159" s="346"/>
      <c r="F159" s="346"/>
      <c r="G159" s="346"/>
      <c r="H159" s="346"/>
      <c r="I159" s="352" t="s">
        <v>955</v>
      </c>
      <c r="J159" s="346"/>
      <c r="K159" s="346"/>
      <c r="L159" s="346"/>
      <c r="M159" s="346"/>
      <c r="N159" s="346"/>
      <c r="O159" s="346"/>
      <c r="P159" s="346"/>
      <c r="Q159" s="383"/>
      <c r="R159" s="383"/>
    </row>
    <row r="160" spans="1:41">
      <c r="A160" s="355"/>
      <c r="B160" s="356"/>
      <c r="C160" s="356"/>
      <c r="D160" s="356"/>
      <c r="E160" s="356"/>
      <c r="F160" s="356"/>
      <c r="G160" s="356"/>
      <c r="H160" s="356"/>
      <c r="I160" s="357"/>
      <c r="L160" s="358"/>
      <c r="P160" s="355"/>
      <c r="Q160" s="383"/>
      <c r="R160" s="383"/>
    </row>
    <row r="161" spans="1:41" s="365" customFormat="1">
      <c r="A161" s="360"/>
      <c r="B161" s="361" t="s">
        <v>908</v>
      </c>
      <c r="C161" s="361"/>
      <c r="D161" s="361"/>
      <c r="E161" s="361"/>
      <c r="F161" s="361"/>
      <c r="G161" s="361"/>
      <c r="H161" s="362"/>
      <c r="I161" s="360"/>
      <c r="J161" s="361" t="s">
        <v>908</v>
      </c>
      <c r="K161" s="361"/>
      <c r="L161" s="361"/>
      <c r="M161" s="361"/>
      <c r="N161" s="361"/>
      <c r="O161" s="361"/>
      <c r="P161" s="362"/>
      <c r="Q161" s="383"/>
      <c r="R161" s="383"/>
    </row>
    <row r="162" spans="1:41" s="365" customFormat="1">
      <c r="A162" s="360"/>
      <c r="B162" s="361" t="s">
        <v>909</v>
      </c>
      <c r="C162" s="361"/>
      <c r="D162" s="506" t="s">
        <v>910</v>
      </c>
      <c r="E162" s="504"/>
      <c r="F162" s="504"/>
      <c r="G162" s="504"/>
      <c r="H162" s="368" t="s">
        <v>800</v>
      </c>
      <c r="I162" s="360"/>
      <c r="J162" s="361" t="s">
        <v>909</v>
      </c>
      <c r="K162" s="361"/>
      <c r="L162" s="506" t="s">
        <v>910</v>
      </c>
      <c r="M162" s="504"/>
      <c r="N162" s="504"/>
      <c r="O162" s="504"/>
      <c r="P162" s="368" t="s">
        <v>800</v>
      </c>
      <c r="Q162" s="383"/>
      <c r="R162" s="383"/>
    </row>
    <row r="163" spans="1:41" s="365" customFormat="1" ht="40.5" customHeight="1">
      <c r="A163" s="360"/>
      <c r="B163" s="369" t="s">
        <v>911</v>
      </c>
      <c r="C163" s="370" t="s">
        <v>912</v>
      </c>
      <c r="D163" s="371" t="s">
        <v>913</v>
      </c>
      <c r="E163" s="372" t="s">
        <v>10</v>
      </c>
      <c r="F163" s="369" t="s">
        <v>914</v>
      </c>
      <c r="G163" s="373" t="s">
        <v>924</v>
      </c>
      <c r="H163" s="374" t="s">
        <v>916</v>
      </c>
      <c r="I163" s="360"/>
      <c r="J163" s="369" t="s">
        <v>911</v>
      </c>
      <c r="K163" s="370" t="s">
        <v>912</v>
      </c>
      <c r="L163" s="371" t="s">
        <v>913</v>
      </c>
      <c r="M163" s="372" t="s">
        <v>10</v>
      </c>
      <c r="N163" s="369" t="s">
        <v>914</v>
      </c>
      <c r="O163" s="373" t="s">
        <v>924</v>
      </c>
      <c r="P163" s="374" t="s">
        <v>916</v>
      </c>
      <c r="Q163" s="383"/>
      <c r="R163" s="383"/>
      <c r="T163" s="403"/>
    </row>
    <row r="164" spans="1:41" ht="15.75" customHeight="1">
      <c r="A164" s="404" t="s">
        <v>885</v>
      </c>
      <c r="B164" s="378">
        <f>('Pivot Table for Data Exchange'!$G$6)*100</f>
        <v>91.855855562519835</v>
      </c>
      <c r="C164" s="378">
        <f>('Pivot Table for Data Exchange'!$G$9)*100</f>
        <v>0.31257885697075272</v>
      </c>
      <c r="D164" s="379">
        <f>SUM(E164:G164)</f>
        <v>7.8315655805094062</v>
      </c>
      <c r="E164" s="378">
        <f>('Pivot Table for Data Exchange'!$G$12)*100</f>
        <v>7.8315655805094062</v>
      </c>
      <c r="F164" s="378">
        <f>('Pivot Table for Data Exchange'!$G$15)*100</f>
        <v>0</v>
      </c>
      <c r="G164" s="382">
        <f>('Pivot Table for Data Exchange'!$G$18)*100</f>
        <v>0</v>
      </c>
      <c r="H164" s="378">
        <f>('Pivot Table for Data Exchange'!$G$21)*100</f>
        <v>0</v>
      </c>
      <c r="I164" s="381" t="s">
        <v>885</v>
      </c>
      <c r="J164" s="378">
        <f>('Pivot Table for Data Exchange'!$G$24)*100</f>
        <v>19.961942317391905</v>
      </c>
      <c r="K164" s="378">
        <f>('Pivot Table for Data Exchange'!$G$27)*100</f>
        <v>2.7511577788986198E-2</v>
      </c>
      <c r="L164" s="379">
        <f>SUM(M164:O164)</f>
        <v>80.010546104819113</v>
      </c>
      <c r="M164" s="378">
        <f>('Pivot Table for Data Exchange'!$G$30)*100</f>
        <v>80.010546104819113</v>
      </c>
      <c r="N164" s="378">
        <f>('Pivot Table for Data Exchange'!$G$33)*100</f>
        <v>0</v>
      </c>
      <c r="O164" s="382">
        <f>('Pivot Table for Data Exchange'!$G$36)*100</f>
        <v>0</v>
      </c>
      <c r="P164" s="378">
        <f>('Pivot Table for Data Exchange'!$G$39)*100</f>
        <v>0</v>
      </c>
      <c r="Q164" s="383">
        <f>SUM(B164,C164,D164,H164)</f>
        <v>100</v>
      </c>
      <c r="R164" s="383">
        <f t="shared" si="35"/>
        <v>100</v>
      </c>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row>
    <row r="165" spans="1:41" ht="15.75" customHeight="1">
      <c r="A165" s="349" t="s">
        <v>886</v>
      </c>
      <c r="B165" s="378">
        <f>('Pivot Table for Data Exchange'!$G$42)*100</f>
        <v>69.163863740757762</v>
      </c>
      <c r="C165" s="378">
        <f>('Pivot Table for Data Exchange'!$G$45)*100</f>
        <v>4.6066766436011788</v>
      </c>
      <c r="D165" s="379">
        <f t="shared" ref="D165:D167" si="40">SUM(E165:G165)</f>
        <v>26.229459615641066</v>
      </c>
      <c r="E165" s="378">
        <f>('Pivot Table for Data Exchange'!$G$48)*100</f>
        <v>26.229459615641066</v>
      </c>
      <c r="F165" s="378">
        <f>('Pivot Table for Data Exchange'!$G$51)*100</f>
        <v>0</v>
      </c>
      <c r="G165" s="386">
        <f>('Pivot Table for Data Exchange'!$G$54)*100</f>
        <v>0</v>
      </c>
      <c r="H165" s="390">
        <f>('Pivot Table for Data Exchange'!$G$57)*100</f>
        <v>0</v>
      </c>
      <c r="I165" s="384" t="s">
        <v>886</v>
      </c>
      <c r="J165" s="378">
        <f>('Pivot Table for Data Exchange'!$G$60)*100</f>
        <v>16.685034163544195</v>
      </c>
      <c r="K165" s="378">
        <f>('Pivot Table for Data Exchange'!$G$63)*100</f>
        <v>0.13224597751818382</v>
      </c>
      <c r="L165" s="379">
        <f t="shared" ref="L165:L167" si="41">SUM(M165:O165)</f>
        <v>83.182719858937631</v>
      </c>
      <c r="M165" s="378">
        <f>('Pivot Table for Data Exchange'!$G$66)*100</f>
        <v>83.182719858937631</v>
      </c>
      <c r="N165" s="378">
        <f>('Pivot Table for Data Exchange'!$G$69)*100</f>
        <v>0</v>
      </c>
      <c r="O165" s="386">
        <f>('Pivot Table for Data Exchange'!$G$72)*100</f>
        <v>0</v>
      </c>
      <c r="P165" s="378">
        <f>('Pivot Table for Data Exchange'!$G$75)*100</f>
        <v>0</v>
      </c>
      <c r="Q165" s="383">
        <f t="shared" si="34"/>
        <v>100</v>
      </c>
      <c r="R165" s="383">
        <f t="shared" si="35"/>
        <v>100.00000000000001</v>
      </c>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row>
    <row r="166" spans="1:41" ht="15.75" customHeight="1">
      <c r="A166" s="349" t="s">
        <v>887</v>
      </c>
      <c r="B166" s="378">
        <f>('Pivot Table for Data Exchange'!$G$78)*100</f>
        <v>0</v>
      </c>
      <c r="C166" s="378">
        <f>('Pivot Table for Data Exchange'!$G$81)*100</f>
        <v>0</v>
      </c>
      <c r="D166" s="379">
        <f t="shared" si="40"/>
        <v>0</v>
      </c>
      <c r="E166" s="378">
        <f>('Pivot Table for Data Exchange'!$G$84)*100</f>
        <v>0</v>
      </c>
      <c r="F166" s="378">
        <f>('Pivot Table for Data Exchange'!$G$87)*100</f>
        <v>0</v>
      </c>
      <c r="G166" s="386">
        <f>('Pivot Table for Data Exchange'!$G$90)*100</f>
        <v>0</v>
      </c>
      <c r="H166" s="378">
        <f>('Pivot Table for Data Exchange'!$G$93)*100</f>
        <v>0</v>
      </c>
      <c r="I166" s="384" t="s">
        <v>887</v>
      </c>
      <c r="J166" s="378">
        <f>('Pivot Table for Data Exchange'!$G$96)*100</f>
        <v>0</v>
      </c>
      <c r="K166" s="378">
        <f>('Pivot Table for Data Exchange'!$G$99)*100</f>
        <v>0</v>
      </c>
      <c r="L166" s="379">
        <f t="shared" si="41"/>
        <v>0</v>
      </c>
      <c r="M166" s="378">
        <f>('Pivot Table for Data Exchange'!$G$102)*100</f>
        <v>0</v>
      </c>
      <c r="N166" s="378">
        <f>('Pivot Table for Data Exchange'!$G$105)*100</f>
        <v>0</v>
      </c>
      <c r="O166" s="386">
        <f>('Pivot Table for Data Exchange'!$G$108)*100</f>
        <v>0</v>
      </c>
      <c r="P166" s="378">
        <f>('Pivot Table for Data Exchange'!$G$111)*100</f>
        <v>0</v>
      </c>
      <c r="Q166" s="383">
        <f t="shared" si="34"/>
        <v>0</v>
      </c>
      <c r="R166" s="383">
        <f t="shared" si="35"/>
        <v>0</v>
      </c>
      <c r="S166" s="384"/>
      <c r="T166" s="358"/>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row>
    <row r="167" spans="1:41" ht="15.75" customHeight="1">
      <c r="A167" s="349" t="s">
        <v>888</v>
      </c>
      <c r="B167" s="378">
        <f>('Pivot Table for Data Exchange'!$G$114)*100</f>
        <v>0</v>
      </c>
      <c r="C167" s="378">
        <f>('Pivot Table for Data Exchange'!$G$117)*100</f>
        <v>0</v>
      </c>
      <c r="D167" s="379">
        <f t="shared" si="40"/>
        <v>0</v>
      </c>
      <c r="E167" s="378">
        <f>('Pivot Table for Data Exchange'!$G$120)*100</f>
        <v>0</v>
      </c>
      <c r="F167" s="378">
        <f>('Pivot Table for Data Exchange'!$G$123)*100</f>
        <v>0</v>
      </c>
      <c r="G167" s="386">
        <f>('Pivot Table for Data Exchange'!$G$126)*100</f>
        <v>0</v>
      </c>
      <c r="H167" s="378">
        <f>('Pivot Table for Data Exchange'!$G$129)*100</f>
        <v>0</v>
      </c>
      <c r="I167" s="384" t="s">
        <v>888</v>
      </c>
      <c r="J167" s="378">
        <f>('Pivot Table for Data Exchange'!$G$132)*100</f>
        <v>0</v>
      </c>
      <c r="K167" s="378">
        <f>('Pivot Table for Data Exchange'!$G$135)*100</f>
        <v>0</v>
      </c>
      <c r="L167" s="379">
        <f t="shared" si="41"/>
        <v>0</v>
      </c>
      <c r="M167" s="378">
        <f>('Pivot Table for Data Exchange'!$G$138)*100</f>
        <v>0</v>
      </c>
      <c r="N167" s="378">
        <f>('Pivot Table for Data Exchange'!$G$141)*100</f>
        <v>0</v>
      </c>
      <c r="O167" s="386">
        <f>('Pivot Table for Data Exchange'!$G$144)*100</f>
        <v>0</v>
      </c>
      <c r="P167" s="378">
        <f>('Pivot Table for Data Exchange'!$G$147)*100</f>
        <v>0</v>
      </c>
      <c r="Q167" s="383">
        <f t="shared" si="34"/>
        <v>0</v>
      </c>
      <c r="R167" s="383">
        <f t="shared" si="35"/>
        <v>0</v>
      </c>
      <c r="S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row>
    <row r="168" spans="1:41" ht="10.5" customHeight="1">
      <c r="B168" s="378"/>
      <c r="C168" s="378"/>
      <c r="D168" s="379"/>
      <c r="E168" s="378"/>
      <c r="F168" s="378"/>
      <c r="G168" s="386"/>
      <c r="H168" s="378"/>
      <c r="I168" s="384"/>
      <c r="J168" s="378"/>
      <c r="K168" s="378"/>
      <c r="L168" s="379"/>
      <c r="M168" s="378"/>
      <c r="N168" s="378"/>
      <c r="O168" s="386"/>
      <c r="P168" s="378"/>
      <c r="Q168" s="383">
        <f t="shared" si="34"/>
        <v>0</v>
      </c>
      <c r="R168" s="383">
        <f t="shared" si="35"/>
        <v>0</v>
      </c>
      <c r="S168" s="384"/>
      <c r="U168" s="384"/>
      <c r="V168" s="384"/>
      <c r="W168" s="384"/>
      <c r="X168" s="384"/>
      <c r="Y168" s="384"/>
      <c r="Z168" s="384"/>
      <c r="AA168" s="384"/>
      <c r="AB168" s="384"/>
      <c r="AC168" s="384"/>
      <c r="AD168" s="384"/>
      <c r="AE168" s="384"/>
      <c r="AF168" s="384"/>
      <c r="AG168" s="384"/>
      <c r="AH168" s="384"/>
      <c r="AI168" s="384"/>
      <c r="AJ168" s="384"/>
      <c r="AK168" s="384"/>
      <c r="AL168" s="384"/>
      <c r="AM168" s="384"/>
      <c r="AN168" s="384"/>
      <c r="AO168" s="384"/>
    </row>
    <row r="169" spans="1:41" ht="15.75" customHeight="1">
      <c r="A169" s="349" t="s">
        <v>889</v>
      </c>
      <c r="B169" s="378">
        <f>('Pivot Table for Data Exchange'!$G$150)*100</f>
        <v>91.568022354259753</v>
      </c>
      <c r="C169" s="378">
        <f>('Pivot Table for Data Exchange'!$G$153)*100</f>
        <v>0.29554910721139821</v>
      </c>
      <c r="D169" s="379">
        <f t="shared" ref="D169:D172" si="42">SUM(E169:G169)</f>
        <v>8.1364285385288557</v>
      </c>
      <c r="E169" s="378">
        <f>('Pivot Table for Data Exchange'!$G$156)*100</f>
        <v>8.1364285385288557</v>
      </c>
      <c r="F169" s="378">
        <f>('Pivot Table for Data Exchange'!$G$159)*100</f>
        <v>0</v>
      </c>
      <c r="G169" s="386">
        <f>('Pivot Table for Data Exchange'!$G$162)*100</f>
        <v>0</v>
      </c>
      <c r="H169" s="378">
        <f>('Pivot Table for Data Exchange'!$G$165)*100</f>
        <v>0</v>
      </c>
      <c r="I169" s="384" t="s">
        <v>889</v>
      </c>
      <c r="J169" s="378">
        <f>('Pivot Table for Data Exchange'!$G$168)*100</f>
        <v>56.402199528672426</v>
      </c>
      <c r="K169" s="378">
        <f>('Pivot Table for Data Exchange'!$G$171)*100</f>
        <v>31.736056559308718</v>
      </c>
      <c r="L169" s="379">
        <f t="shared" ref="L169:L172" si="43">SUM(M169:O169)</f>
        <v>11.861743912018854</v>
      </c>
      <c r="M169" s="378">
        <f>('Pivot Table for Data Exchange'!$G$174)*100</f>
        <v>11.861743912018854</v>
      </c>
      <c r="N169" s="378">
        <f>('Pivot Table for Data Exchange'!$G$177)*100</f>
        <v>0</v>
      </c>
      <c r="O169" s="386">
        <f>('Pivot Table for Data Exchange'!$G$180)*100</f>
        <v>0</v>
      </c>
      <c r="P169" s="378">
        <f>('Pivot Table for Data Exchange'!$G$183)*100</f>
        <v>0</v>
      </c>
      <c r="Q169" s="383">
        <f t="shared" si="34"/>
        <v>100.00000000000001</v>
      </c>
      <c r="R169" s="383">
        <f t="shared" si="35"/>
        <v>100</v>
      </c>
      <c r="S169" s="384"/>
      <c r="T169" s="384"/>
      <c r="U169" s="384"/>
      <c r="V169" s="384"/>
      <c r="W169" s="384"/>
      <c r="X169" s="384"/>
      <c r="Y169" s="384"/>
      <c r="Z169" s="384"/>
      <c r="AA169" s="384"/>
      <c r="AB169" s="384"/>
      <c r="AC169" s="384"/>
      <c r="AD169" s="384"/>
      <c r="AE169" s="384"/>
      <c r="AF169" s="384"/>
      <c r="AG169" s="384"/>
      <c r="AH169" s="384"/>
      <c r="AI169" s="384"/>
      <c r="AJ169" s="384"/>
      <c r="AK169" s="384"/>
      <c r="AL169" s="384"/>
      <c r="AM169" s="384"/>
      <c r="AN169" s="384"/>
      <c r="AO169" s="384"/>
    </row>
    <row r="170" spans="1:41" ht="15.75" customHeight="1">
      <c r="A170" s="349" t="s">
        <v>890</v>
      </c>
      <c r="B170" s="378">
        <f>('Pivot Table for Data Exchange'!$G$186)*100</f>
        <v>0</v>
      </c>
      <c r="C170" s="378">
        <f>('Pivot Table for Data Exchange'!$G$189)*100</f>
        <v>0</v>
      </c>
      <c r="D170" s="379">
        <f t="shared" si="42"/>
        <v>0</v>
      </c>
      <c r="E170" s="378">
        <f>('Pivot Table for Data Exchange'!$G$192)*100</f>
        <v>0</v>
      </c>
      <c r="F170" s="378">
        <f>('Pivot Table for Data Exchange'!$G$195)*100</f>
        <v>0</v>
      </c>
      <c r="G170" s="386">
        <f>('Pivot Table for Data Exchange'!$G$198)*100</f>
        <v>0</v>
      </c>
      <c r="H170" s="378">
        <f>('Pivot Table for Data Exchange'!$G$201)*100</f>
        <v>0</v>
      </c>
      <c r="I170" s="384" t="s">
        <v>890</v>
      </c>
      <c r="J170" s="378">
        <f>('Pivot Table for Data Exchange'!$G$204)*100</f>
        <v>0</v>
      </c>
      <c r="K170" s="378">
        <f>('Pivot Table for Data Exchange'!$G$207)*100</f>
        <v>0</v>
      </c>
      <c r="L170" s="379">
        <f t="shared" si="43"/>
        <v>0</v>
      </c>
      <c r="M170" s="378">
        <f>('Pivot Table for Data Exchange'!$G$210)*100</f>
        <v>0</v>
      </c>
      <c r="N170" s="378">
        <f>('Pivot Table for Data Exchange'!$G$213)*100</f>
        <v>0</v>
      </c>
      <c r="O170" s="386">
        <f>('Pivot Table for Data Exchange'!$G$216)*100</f>
        <v>0</v>
      </c>
      <c r="P170" s="378">
        <f>('Pivot Table for Data Exchange'!$G$219)*100</f>
        <v>0</v>
      </c>
      <c r="Q170" s="383">
        <f t="shared" si="34"/>
        <v>0</v>
      </c>
      <c r="R170" s="383">
        <f t="shared" si="35"/>
        <v>0</v>
      </c>
      <c r="S170" s="384"/>
      <c r="T170" s="384"/>
      <c r="U170" s="384"/>
      <c r="V170" s="384"/>
      <c r="W170" s="384"/>
      <c r="X170" s="384"/>
      <c r="Y170" s="384"/>
      <c r="Z170" s="384"/>
      <c r="AA170" s="384"/>
      <c r="AB170" s="384"/>
      <c r="AC170" s="384"/>
      <c r="AD170" s="384"/>
      <c r="AE170" s="384"/>
      <c r="AF170" s="384"/>
      <c r="AG170" s="384"/>
      <c r="AH170" s="384"/>
      <c r="AI170" s="384"/>
      <c r="AJ170" s="384"/>
      <c r="AK170" s="384"/>
      <c r="AL170" s="384"/>
      <c r="AM170" s="384"/>
      <c r="AN170" s="384"/>
      <c r="AO170" s="384"/>
    </row>
    <row r="171" spans="1:41" ht="15.75" customHeight="1">
      <c r="A171" s="349" t="s">
        <v>891</v>
      </c>
      <c r="B171" s="378">
        <f>('Pivot Table for Data Exchange'!$G$222)*100</f>
        <v>87.671232876712324</v>
      </c>
      <c r="C171" s="378">
        <f>('Pivot Table for Data Exchange'!$G$225)*100</f>
        <v>0</v>
      </c>
      <c r="D171" s="379">
        <f t="shared" si="42"/>
        <v>12.328767123287671</v>
      </c>
      <c r="E171" s="378">
        <f>('Pivot Table for Data Exchange'!$G$228)*100</f>
        <v>12.328767123287671</v>
      </c>
      <c r="F171" s="378">
        <f>('Pivot Table for Data Exchange'!$G$231)*100</f>
        <v>0</v>
      </c>
      <c r="G171" s="386">
        <f>('Pivot Table for Data Exchange'!$G$234)*100</f>
        <v>0</v>
      </c>
      <c r="H171" s="378">
        <f>('Pivot Table for Data Exchange'!$G$237)*100</f>
        <v>0</v>
      </c>
      <c r="I171" s="384" t="s">
        <v>891</v>
      </c>
      <c r="J171" s="378">
        <f>('Pivot Table for Data Exchange'!$G$240)*100</f>
        <v>82.383419689119222</v>
      </c>
      <c r="K171" s="378">
        <f>('Pivot Table for Data Exchange'!$G$243)*100</f>
        <v>0</v>
      </c>
      <c r="L171" s="379">
        <f t="shared" si="43"/>
        <v>17.616580310880789</v>
      </c>
      <c r="M171" s="378">
        <f>('Pivot Table for Data Exchange'!$G$246)*100</f>
        <v>17.616580310880789</v>
      </c>
      <c r="N171" s="378">
        <f>('Pivot Table for Data Exchange'!$G$249)*100</f>
        <v>0</v>
      </c>
      <c r="O171" s="386">
        <f>('Pivot Table for Data Exchange'!$G$252)*100</f>
        <v>0</v>
      </c>
      <c r="P171" s="378">
        <f>('Pivot Table for Data Exchange'!$G$255)*100</f>
        <v>0</v>
      </c>
      <c r="Q171" s="383">
        <f t="shared" si="34"/>
        <v>100</v>
      </c>
      <c r="R171" s="383">
        <f t="shared" si="35"/>
        <v>100.00000000000001</v>
      </c>
      <c r="S171" s="384"/>
      <c r="T171" s="358"/>
      <c r="U171" s="384"/>
      <c r="V171" s="384"/>
      <c r="W171" s="384"/>
      <c r="X171" s="384"/>
      <c r="Y171" s="384"/>
      <c r="Z171" s="384"/>
      <c r="AA171" s="384"/>
      <c r="AB171" s="384"/>
      <c r="AC171" s="384"/>
      <c r="AD171" s="384"/>
      <c r="AE171" s="384"/>
      <c r="AF171" s="384"/>
      <c r="AG171" s="384"/>
      <c r="AH171" s="384"/>
      <c r="AI171" s="384"/>
      <c r="AJ171" s="384"/>
      <c r="AK171" s="384"/>
      <c r="AL171" s="384"/>
      <c r="AM171" s="384"/>
      <c r="AN171" s="384"/>
      <c r="AO171" s="384"/>
    </row>
    <row r="172" spans="1:41" ht="15.75" customHeight="1">
      <c r="A172" s="349" t="s">
        <v>892</v>
      </c>
      <c r="B172" s="378">
        <f>('Pivot Table for Data Exchange'!$G$258)*100</f>
        <v>76.428464194565379</v>
      </c>
      <c r="C172" s="378">
        <f>('Pivot Table for Data Exchange'!$G$261)*100</f>
        <v>2.6797778111394686</v>
      </c>
      <c r="D172" s="379">
        <f t="shared" si="42"/>
        <v>20.891757994295151</v>
      </c>
      <c r="E172" s="378">
        <f>('Pivot Table for Data Exchange'!$G$264)*100</f>
        <v>20.891757994295151</v>
      </c>
      <c r="F172" s="378">
        <f>('Pivot Table for Data Exchange'!$G$267)*100</f>
        <v>0</v>
      </c>
      <c r="G172" s="386">
        <f>('Pivot Table for Data Exchange'!$G$270)*100</f>
        <v>0</v>
      </c>
      <c r="H172" s="378">
        <f>('Pivot Table for Data Exchange'!$G$273)*100</f>
        <v>0</v>
      </c>
      <c r="I172" s="384" t="s">
        <v>892</v>
      </c>
      <c r="J172" s="378">
        <f>('Pivot Table for Data Exchange'!$G$276)*100</f>
        <v>72.800718132854584</v>
      </c>
      <c r="K172" s="378">
        <f>('Pivot Table for Data Exchange'!$G$279)*100</f>
        <v>12.872531418312388</v>
      </c>
      <c r="L172" s="379">
        <f t="shared" si="43"/>
        <v>14.326750448833034</v>
      </c>
      <c r="M172" s="378">
        <f>('Pivot Table for Data Exchange'!$G$282)*100</f>
        <v>14.326750448833034</v>
      </c>
      <c r="N172" s="378">
        <f>('Pivot Table for Data Exchange'!$G$285)*100</f>
        <v>0</v>
      </c>
      <c r="O172" s="386">
        <f>('Pivot Table for Data Exchange'!$G$288)*100</f>
        <v>0</v>
      </c>
      <c r="P172" s="378">
        <f>('Pivot Table for Data Exchange'!$G$291)*100</f>
        <v>0</v>
      </c>
      <c r="Q172" s="383">
        <f t="shared" si="34"/>
        <v>100</v>
      </c>
      <c r="R172" s="383">
        <f t="shared" si="35"/>
        <v>100.00000000000001</v>
      </c>
      <c r="S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row>
    <row r="173" spans="1:41" ht="11.25" customHeight="1">
      <c r="B173" s="378"/>
      <c r="C173" s="378"/>
      <c r="D173" s="379"/>
      <c r="E173" s="378"/>
      <c r="F173" s="378"/>
      <c r="G173" s="386"/>
      <c r="H173" s="378"/>
      <c r="I173" s="384"/>
      <c r="J173" s="378"/>
      <c r="K173" s="378"/>
      <c r="L173" s="379"/>
      <c r="M173" s="378"/>
      <c r="N173" s="378"/>
      <c r="O173" s="386"/>
      <c r="P173" s="378"/>
      <c r="Q173" s="383">
        <f t="shared" si="34"/>
        <v>0</v>
      </c>
      <c r="R173" s="383">
        <f t="shared" si="35"/>
        <v>0</v>
      </c>
      <c r="S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4"/>
    </row>
    <row r="174" spans="1:41" ht="15.75" customHeight="1">
      <c r="A174" s="349" t="s">
        <v>893</v>
      </c>
      <c r="B174" s="378">
        <f>('Pivot Table for Data Exchange'!$G$294)*100</f>
        <v>49.941062557884983</v>
      </c>
      <c r="C174" s="378">
        <f>('Pivot Table for Data Exchange'!$G$297)*100</f>
        <v>0.21329740955909182</v>
      </c>
      <c r="D174" s="379">
        <f t="shared" ref="D174:D176" si="44">SUM(E174:G174)</f>
        <v>49.84564003255592</v>
      </c>
      <c r="E174" s="378">
        <f>('Pivot Table for Data Exchange'!$G$300)*100</f>
        <v>49.84564003255592</v>
      </c>
      <c r="F174" s="378">
        <f>('Pivot Table for Data Exchange'!$G$303)*100</f>
        <v>0</v>
      </c>
      <c r="G174" s="386">
        <f>('Pivot Table for Data Exchange'!$G$306)*100</f>
        <v>0</v>
      </c>
      <c r="H174" s="378">
        <f>('Pivot Table for Data Exchange'!$G$309)*100</f>
        <v>0</v>
      </c>
      <c r="I174" s="384" t="s">
        <v>893</v>
      </c>
      <c r="J174" s="378">
        <f>('Pivot Table for Data Exchange'!$G$312)*100</f>
        <v>52.924157883860303</v>
      </c>
      <c r="K174" s="378">
        <f>('Pivot Table for Data Exchange'!$G$315)*100</f>
        <v>9.5887580078528636</v>
      </c>
      <c r="L174" s="379">
        <f t="shared" ref="L174:L176" si="45">SUM(M174:O174)</f>
        <v>37.487084108286837</v>
      </c>
      <c r="M174" s="378">
        <f>('Pivot Table for Data Exchange'!$G$318)*100</f>
        <v>37.487084108286837</v>
      </c>
      <c r="N174" s="378">
        <f>('Pivot Table for Data Exchange'!$G$321)*100</f>
        <v>0</v>
      </c>
      <c r="O174" s="386">
        <f>('Pivot Table for Data Exchange'!$G$324)*100</f>
        <v>0</v>
      </c>
      <c r="P174" s="378">
        <f>('Pivot Table for Data Exchange'!$G$327)*100</f>
        <v>0</v>
      </c>
      <c r="Q174" s="383">
        <f t="shared" si="34"/>
        <v>100</v>
      </c>
      <c r="R174" s="383">
        <f t="shared" si="35"/>
        <v>100</v>
      </c>
      <c r="S174" s="384"/>
      <c r="T174" s="384"/>
      <c r="U174" s="384"/>
      <c r="V174" s="384"/>
      <c r="W174" s="384"/>
      <c r="X174" s="384"/>
      <c r="Y174" s="384"/>
      <c r="Z174" s="384"/>
      <c r="AA174" s="384"/>
      <c r="AB174" s="384"/>
      <c r="AC174" s="384"/>
      <c r="AD174" s="384"/>
      <c r="AE174" s="384"/>
      <c r="AF174" s="384"/>
      <c r="AG174" s="384"/>
      <c r="AH174" s="384"/>
      <c r="AI174" s="384"/>
      <c r="AJ174" s="384"/>
      <c r="AK174" s="384"/>
      <c r="AL174" s="384"/>
      <c r="AM174" s="384"/>
      <c r="AN174" s="384"/>
      <c r="AO174" s="384"/>
    </row>
    <row r="175" spans="1:41" ht="15.75" customHeight="1">
      <c r="A175" s="349" t="s">
        <v>894</v>
      </c>
      <c r="B175" s="378">
        <f>('Pivot Table for Data Exchange'!$G$330)*100</f>
        <v>75.185920116469106</v>
      </c>
      <c r="C175" s="378">
        <f>('Pivot Table for Data Exchange'!$G$333)*100</f>
        <v>0.53370009904073978</v>
      </c>
      <c r="D175" s="379">
        <f t="shared" si="44"/>
        <v>24.280379784490151</v>
      </c>
      <c r="E175" s="378">
        <f>('Pivot Table for Data Exchange'!$G$336)*100</f>
        <v>19.137260666127716</v>
      </c>
      <c r="F175" s="378">
        <f>('Pivot Table for Data Exchange'!$G$339)*100</f>
        <v>0.18198298459094076</v>
      </c>
      <c r="G175" s="386">
        <f>('Pivot Table for Data Exchange'!$G$342)*100</f>
        <v>4.9611361337714923</v>
      </c>
      <c r="H175" s="378">
        <f>('Pivot Table for Data Exchange'!$G$345)*100</f>
        <v>0</v>
      </c>
      <c r="I175" s="384" t="s">
        <v>894</v>
      </c>
      <c r="J175" s="378">
        <f>('Pivot Table for Data Exchange'!$G$348)*100</f>
        <v>55.979978925184405</v>
      </c>
      <c r="K175" s="378">
        <f>('Pivot Table for Data Exchange'!$G$351)*100</f>
        <v>2.5553213909378294</v>
      </c>
      <c r="L175" s="379">
        <f t="shared" si="45"/>
        <v>41.464699683877768</v>
      </c>
      <c r="M175" s="378">
        <f>('Pivot Table for Data Exchange'!$G$354)*100</f>
        <v>34.466104671584127</v>
      </c>
      <c r="N175" s="378">
        <f>('Pivot Table for Data Exchange'!$G$357)*100</f>
        <v>7.9030558482613283E-2</v>
      </c>
      <c r="O175" s="386">
        <f>('Pivot Table for Data Exchange'!$G$360)*100</f>
        <v>6.919564453811029</v>
      </c>
      <c r="P175" s="378">
        <f>('Pivot Table for Data Exchange'!$G$363)*100</f>
        <v>0</v>
      </c>
      <c r="Q175" s="383">
        <f t="shared" si="34"/>
        <v>100</v>
      </c>
      <c r="R175" s="383">
        <f t="shared" si="35"/>
        <v>100</v>
      </c>
      <c r="S175" s="384"/>
      <c r="T175" s="384"/>
      <c r="U175" s="384"/>
      <c r="V175" s="384"/>
      <c r="W175" s="384"/>
      <c r="X175" s="384"/>
      <c r="Y175" s="384"/>
      <c r="Z175" s="384"/>
      <c r="AA175" s="384"/>
      <c r="AB175" s="384"/>
      <c r="AC175" s="384"/>
      <c r="AD175" s="384"/>
      <c r="AE175" s="384"/>
      <c r="AF175" s="384"/>
      <c r="AG175" s="384"/>
      <c r="AH175" s="384"/>
      <c r="AI175" s="384"/>
      <c r="AJ175" s="384"/>
      <c r="AK175" s="384"/>
      <c r="AL175" s="384"/>
      <c r="AM175" s="384"/>
      <c r="AN175" s="384"/>
      <c r="AO175" s="384"/>
    </row>
    <row r="176" spans="1:41" ht="15.75" customHeight="1">
      <c r="A176" s="349" t="s">
        <v>895</v>
      </c>
      <c r="B176" s="378">
        <f>('Pivot Table for Data Exchange'!$G$366)*100</f>
        <v>78.959084293846374</v>
      </c>
      <c r="C176" s="378">
        <f>('Pivot Table for Data Exchange'!$G$369)*100</f>
        <v>0.89501188231898654</v>
      </c>
      <c r="D176" s="379">
        <f t="shared" si="44"/>
        <v>20.145903823834644</v>
      </c>
      <c r="E176" s="378">
        <f>('Pivot Table for Data Exchange'!$G$372)*100</f>
        <v>13.305126898254189</v>
      </c>
      <c r="F176" s="378">
        <f>('Pivot Table for Data Exchange'!$G$375)*100</f>
        <v>5.2804165873488618</v>
      </c>
      <c r="G176" s="386">
        <f>('Pivot Table for Data Exchange'!$G$378)*100</f>
        <v>1.5603603382315916</v>
      </c>
      <c r="H176" s="378">
        <f>('Pivot Table for Data Exchange'!$G$381)*100</f>
        <v>0</v>
      </c>
      <c r="I176" s="384" t="s">
        <v>895</v>
      </c>
      <c r="J176" s="378">
        <f>('Pivot Table for Data Exchange'!$G$384)*100</f>
        <v>43.025805363467704</v>
      </c>
      <c r="K176" s="378">
        <f>('Pivot Table for Data Exchange'!$G$387)*100</f>
        <v>0.40816326530612246</v>
      </c>
      <c r="L176" s="379">
        <f t="shared" si="45"/>
        <v>56.566031371226181</v>
      </c>
      <c r="M176" s="378">
        <f>('Pivot Table for Data Exchange'!$G$390)*100</f>
        <v>45.464665204924948</v>
      </c>
      <c r="N176" s="378">
        <f>('Pivot Table for Data Exchange'!$G$393)*100</f>
        <v>7.5560802833530101</v>
      </c>
      <c r="O176" s="386">
        <f>('Pivot Table for Data Exchange'!$G$396)*100</f>
        <v>3.545285882948221</v>
      </c>
      <c r="P176" s="378">
        <f>('Pivot Table for Data Exchange'!$G$399)*100</f>
        <v>0</v>
      </c>
      <c r="Q176" s="383">
        <f t="shared" si="34"/>
        <v>100</v>
      </c>
      <c r="R176" s="383">
        <f t="shared" si="35"/>
        <v>100</v>
      </c>
      <c r="S176" s="384"/>
      <c r="T176" s="358"/>
      <c r="U176" s="384"/>
      <c r="V176" s="384"/>
      <c r="W176" s="384"/>
      <c r="X176" s="384"/>
      <c r="Y176" s="384"/>
      <c r="Z176" s="384"/>
      <c r="AA176" s="384"/>
      <c r="AB176" s="384"/>
      <c r="AC176" s="384"/>
      <c r="AD176" s="384"/>
      <c r="AE176" s="384"/>
      <c r="AF176" s="384"/>
      <c r="AG176" s="384"/>
      <c r="AH176" s="384"/>
      <c r="AI176" s="384"/>
      <c r="AJ176" s="384"/>
      <c r="AK176" s="384"/>
      <c r="AL176" s="384"/>
      <c r="AM176" s="384"/>
      <c r="AN176" s="384"/>
      <c r="AO176" s="384"/>
    </row>
    <row r="177" spans="1:41" ht="15.75" customHeight="1">
      <c r="A177" s="349" t="s">
        <v>896</v>
      </c>
      <c r="B177" s="378">
        <f>('Pivot Table for Data Exchange'!$G$402)*100</f>
        <v>89.412425803796808</v>
      </c>
      <c r="C177" s="378">
        <f>('Pivot Table for Data Exchange'!$G$405)*100</f>
        <v>0.48693505246553737</v>
      </c>
      <c r="D177" s="379">
        <f>SUM(E177:G177)</f>
        <v>10.100639143737652</v>
      </c>
      <c r="E177" s="378">
        <f>('Pivot Table for Data Exchange'!$G$408)*100</f>
        <v>10.100639143737652</v>
      </c>
      <c r="F177" s="378">
        <f>('Pivot Table for Data Exchange'!$G$411)*100</f>
        <v>0</v>
      </c>
      <c r="G177" s="386">
        <f>('Pivot Table for Data Exchange'!$G$414)*100</f>
        <v>0</v>
      </c>
      <c r="H177" s="378">
        <f>('Pivot Table for Data Exchange'!$G$417)*100</f>
        <v>0</v>
      </c>
      <c r="I177" s="384" t="s">
        <v>896</v>
      </c>
      <c r="J177" s="378">
        <f>('Pivot Table for Data Exchange'!$G$420)*100</f>
        <v>60.379948795963045</v>
      </c>
      <c r="K177" s="378">
        <f>('Pivot Table for Data Exchange'!$G$423)*100</f>
        <v>4.8235686987495825</v>
      </c>
      <c r="L177" s="379">
        <f>SUM(M177:O177)</f>
        <v>34.796482505287372</v>
      </c>
      <c r="M177" s="378">
        <f>('Pivot Table for Data Exchange'!$G$426)*100</f>
        <v>34.796482505287372</v>
      </c>
      <c r="N177" s="378">
        <f>('Pivot Table for Data Exchange'!$G$429)*100</f>
        <v>0</v>
      </c>
      <c r="O177" s="386">
        <f>('Pivot Table for Data Exchange'!$G$432)*100</f>
        <v>0</v>
      </c>
      <c r="P177" s="378">
        <f>('Pivot Table for Data Exchange'!$G$435)*100</f>
        <v>0</v>
      </c>
      <c r="Q177" s="383">
        <f t="shared" si="34"/>
        <v>100</v>
      </c>
      <c r="R177" s="383">
        <f t="shared" si="35"/>
        <v>100</v>
      </c>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row>
    <row r="178" spans="1:41" ht="11.25" customHeight="1">
      <c r="B178" s="378"/>
      <c r="C178" s="378"/>
      <c r="D178" s="379"/>
      <c r="E178" s="378"/>
      <c r="F178" s="378"/>
      <c r="G178" s="386"/>
      <c r="H178" s="378"/>
      <c r="I178" s="384"/>
      <c r="J178" s="378"/>
      <c r="K178" s="378"/>
      <c r="L178" s="379"/>
      <c r="M178" s="378"/>
      <c r="N178" s="378"/>
      <c r="O178" s="386"/>
      <c r="P178" s="378"/>
      <c r="Q178" s="383">
        <f t="shared" si="34"/>
        <v>0</v>
      </c>
      <c r="R178" s="383">
        <f t="shared" si="35"/>
        <v>0</v>
      </c>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row>
    <row r="179" spans="1:41" ht="15.75" customHeight="1">
      <c r="A179" s="349" t="s">
        <v>897</v>
      </c>
      <c r="B179" s="378">
        <f>('Pivot Table for Data Exchange'!$G$438)*100</f>
        <v>82.512665357372455</v>
      </c>
      <c r="C179" s="378">
        <f>('Pivot Table for Data Exchange'!$G$441)*100</f>
        <v>4.1667403881880425</v>
      </c>
      <c r="D179" s="379">
        <f>SUM(E179:G179)</f>
        <v>13.151329641359544</v>
      </c>
      <c r="E179" s="378">
        <f>('Pivot Table for Data Exchange'!$G$444)*100</f>
        <v>10.700826270811586</v>
      </c>
      <c r="F179" s="378">
        <f>('Pivot Table for Data Exchange'!$G$447)*100</f>
        <v>2.4257329393655231</v>
      </c>
      <c r="G179" s="385">
        <f>('Pivot Table for Data Exchange'!$G$450)*100</f>
        <v>2.4770431182434223E-2</v>
      </c>
      <c r="H179" s="378">
        <f>('Pivot Table for Data Exchange'!$G$453)*100</f>
        <v>0.16926461307996721</v>
      </c>
      <c r="I179" s="384" t="s">
        <v>897</v>
      </c>
      <c r="J179" s="413">
        <f>('Pivot Table for Data Exchange'!$G$456)*100</f>
        <v>11.525368779380775</v>
      </c>
      <c r="K179" s="378">
        <f>('Pivot Table for Data Exchange'!$G$459)*100</f>
        <v>9.7260496028529736E-2</v>
      </c>
      <c r="L179" s="379">
        <f>SUM(M179:O179)</f>
        <v>88.328740476576428</v>
      </c>
      <c r="M179" s="378">
        <f>('Pivot Table for Data Exchange'!$G$462)*100</f>
        <v>88.328740476576428</v>
      </c>
      <c r="N179" s="390">
        <f>('Pivot Table for Data Exchange'!$G$465)*100</f>
        <v>0</v>
      </c>
      <c r="O179" s="386">
        <f>('Pivot Table for Data Exchange'!$G$468)*100</f>
        <v>0</v>
      </c>
      <c r="P179" s="390">
        <f>('Pivot Table for Data Exchange'!$G$471)*100</f>
        <v>4.8630248014264868E-2</v>
      </c>
      <c r="Q179" s="383">
        <f t="shared" si="34"/>
        <v>100</v>
      </c>
      <c r="R179" s="383">
        <f t="shared" si="35"/>
        <v>100</v>
      </c>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row>
    <row r="180" spans="1:41" ht="15.75" customHeight="1">
      <c r="A180" s="349" t="s">
        <v>898</v>
      </c>
      <c r="B180" s="378">
        <f>('Pivot Table for Data Exchange'!$G$474)*100</f>
        <v>63.375462377619755</v>
      </c>
      <c r="C180" s="378">
        <f>('Pivot Table for Data Exchange'!$G$477)*100</f>
        <v>3.5171250099878266</v>
      </c>
      <c r="D180" s="379">
        <f>SUM(E180:G180)</f>
        <v>33.10741261239243</v>
      </c>
      <c r="E180" s="378">
        <f>('Pivot Table for Data Exchange'!$G$480)*100</f>
        <v>31.284222994091909</v>
      </c>
      <c r="F180" s="378">
        <f>('Pivot Table for Data Exchange'!$G$483)*100</f>
        <v>1.2377854755850517</v>
      </c>
      <c r="G180" s="386">
        <f>('Pivot Table for Data Exchange'!$G$486)*100</f>
        <v>0.58540414271546681</v>
      </c>
      <c r="H180" s="378">
        <f>('Pivot Table for Data Exchange'!$G$489)*100</f>
        <v>0</v>
      </c>
      <c r="I180" s="384" t="s">
        <v>898</v>
      </c>
      <c r="J180" s="378">
        <f>('Pivot Table for Data Exchange'!$G$492)*100</f>
        <v>33.697270471464016</v>
      </c>
      <c r="K180" s="378">
        <f>('Pivot Table for Data Exchange'!$G$495)*100</f>
        <v>0.78931820867304736</v>
      </c>
      <c r="L180" s="379">
        <f>SUM(M180:O180)</f>
        <v>61.141439205955336</v>
      </c>
      <c r="M180" s="378">
        <f>('Pivot Table for Data Exchange'!$G$498)*100</f>
        <v>58.057426444523216</v>
      </c>
      <c r="N180" s="378">
        <f>('Pivot Table for Data Exchange'!$G$501)*100</f>
        <v>0.74441687344913154</v>
      </c>
      <c r="O180" s="386">
        <f>('Pivot Table for Data Exchange'!$G$504)*100</f>
        <v>2.339595887982985</v>
      </c>
      <c r="P180" s="378">
        <f>('Pivot Table for Data Exchange'!$G$507)*100</f>
        <v>0</v>
      </c>
      <c r="Q180" s="383">
        <f t="shared" si="34"/>
        <v>100</v>
      </c>
      <c r="R180" s="383">
        <f t="shared" si="35"/>
        <v>95.628027886092397</v>
      </c>
      <c r="S180" s="384"/>
      <c r="T180" s="384"/>
      <c r="U180" s="384"/>
      <c r="V180" s="384"/>
      <c r="W180" s="384"/>
      <c r="X180" s="384"/>
      <c r="Y180" s="384"/>
      <c r="Z180" s="384"/>
      <c r="AA180" s="384"/>
      <c r="AB180" s="384"/>
      <c r="AC180" s="384"/>
      <c r="AD180" s="384"/>
      <c r="AE180" s="384"/>
      <c r="AF180" s="384"/>
      <c r="AG180" s="384"/>
      <c r="AH180" s="384"/>
      <c r="AI180" s="384"/>
      <c r="AJ180" s="384"/>
      <c r="AK180" s="384"/>
      <c r="AL180" s="384"/>
      <c r="AM180" s="384"/>
      <c r="AN180" s="384"/>
      <c r="AO180" s="384"/>
    </row>
    <row r="181" spans="1:41" ht="15.75" customHeight="1">
      <c r="A181" s="349" t="s">
        <v>899</v>
      </c>
      <c r="B181" s="378">
        <f>('Pivot Table for Data Exchange'!$G$510)*100</f>
        <v>99.534214672237823</v>
      </c>
      <c r="C181" s="378">
        <f>('Pivot Table for Data Exchange'!$G$513)*100</f>
        <v>0.46578532776217546</v>
      </c>
      <c r="D181" s="379">
        <f t="shared" ref="D181" si="46">SUM(E181:G181)</f>
        <v>0</v>
      </c>
      <c r="E181" s="378">
        <f>('Pivot Table for Data Exchange'!$G$516)*100</f>
        <v>0</v>
      </c>
      <c r="F181" s="390">
        <f>('Pivot Table for Data Exchange'!$G$519)*100</f>
        <v>0</v>
      </c>
      <c r="G181" s="386">
        <f>('Pivot Table for Data Exchange'!$G$522)*100</f>
        <v>0</v>
      </c>
      <c r="H181" s="378">
        <f>('Pivot Table for Data Exchange'!$G$525)*100</f>
        <v>0</v>
      </c>
      <c r="I181" s="384" t="s">
        <v>899</v>
      </c>
      <c r="J181" s="378">
        <f>('Pivot Table for Data Exchange'!$G$528)*100</f>
        <v>98.628048780487802</v>
      </c>
      <c r="K181" s="378">
        <f>('Pivot Table for Data Exchange'!$G$531)*100</f>
        <v>1.3719512195121952</v>
      </c>
      <c r="L181" s="379">
        <f t="shared" ref="L181" si="47">SUM(M181:O181)</f>
        <v>0</v>
      </c>
      <c r="M181" s="378">
        <f>('Pivot Table for Data Exchange'!$G$534)*100</f>
        <v>0</v>
      </c>
      <c r="N181" s="378">
        <f>('Pivot Table for Data Exchange'!$G$537)*100</f>
        <v>0</v>
      </c>
      <c r="O181" s="386">
        <f>('Pivot Table for Data Exchange'!$G$540)*100</f>
        <v>0</v>
      </c>
      <c r="P181" s="378">
        <f>('Pivot Table for Data Exchange'!$G$543)*100</f>
        <v>0</v>
      </c>
      <c r="Q181" s="383">
        <f t="shared" si="34"/>
        <v>100</v>
      </c>
      <c r="R181" s="383">
        <f t="shared" si="35"/>
        <v>100</v>
      </c>
      <c r="S181" s="384"/>
      <c r="T181" s="384"/>
      <c r="U181" s="384"/>
      <c r="V181" s="384"/>
      <c r="W181" s="384"/>
      <c r="X181" s="384"/>
      <c r="Y181" s="384"/>
      <c r="Z181" s="384"/>
      <c r="AA181" s="384"/>
      <c r="AB181" s="384"/>
      <c r="AC181" s="384"/>
      <c r="AD181" s="384"/>
      <c r="AE181" s="384"/>
      <c r="AF181" s="384"/>
      <c r="AG181" s="384"/>
      <c r="AH181" s="384"/>
      <c r="AI181" s="384"/>
      <c r="AJ181" s="384"/>
      <c r="AK181" s="384"/>
      <c r="AL181" s="384"/>
      <c r="AM181" s="384"/>
      <c r="AN181" s="384"/>
      <c r="AO181" s="384"/>
    </row>
    <row r="182" spans="1:41" ht="15.75" customHeight="1">
      <c r="A182" s="355" t="s">
        <v>900</v>
      </c>
      <c r="B182" s="391">
        <f>('Pivot Table for Data Exchange'!$G$546)*100</f>
        <v>81.163576317547552</v>
      </c>
      <c r="C182" s="391">
        <f>('Pivot Table for Data Exchange'!$G$549)*100</f>
        <v>5.0004411783242793</v>
      </c>
      <c r="D182" s="392">
        <f>SUM(E182:G182)</f>
        <v>13.835982504128168</v>
      </c>
      <c r="E182" s="391">
        <f>('Pivot Table for Data Exchange'!$G$552)*100</f>
        <v>13.808566422547994</v>
      </c>
      <c r="F182" s="391">
        <f>('Pivot Table for Data Exchange'!$G$555)*100</f>
        <v>2.7416081580174709E-2</v>
      </c>
      <c r="G182" s="393">
        <f>('Pivot Table for Data Exchange'!$G$558)*100</f>
        <v>0</v>
      </c>
      <c r="H182" s="391">
        <f>('Pivot Table for Data Exchange'!$G$561)*100</f>
        <v>0</v>
      </c>
      <c r="I182" s="394" t="s">
        <v>900</v>
      </c>
      <c r="J182" s="391">
        <f>('Pivot Table for Data Exchange'!$G$564)*100</f>
        <v>40.069179867655905</v>
      </c>
      <c r="K182" s="391">
        <f>('Pivot Table for Data Exchange'!$G$567)*100</f>
        <v>7.1836775616603159</v>
      </c>
      <c r="L182" s="392">
        <f>SUM(M182:O182)</f>
        <v>52.747142570683778</v>
      </c>
      <c r="M182" s="391">
        <f>('Pivot Table for Data Exchange'!$G$570)*100</f>
        <v>52.747142570683778</v>
      </c>
      <c r="N182" s="391">
        <f>('Pivot Table for Data Exchange'!$G$573)*100</f>
        <v>0</v>
      </c>
      <c r="O182" s="393">
        <f>('Pivot Table for Data Exchange'!$G$576)*100</f>
        <v>0</v>
      </c>
      <c r="P182" s="391">
        <f>('Pivot Table for Data Exchange'!$G$579)*100</f>
        <v>0</v>
      </c>
      <c r="Q182" s="383">
        <f t="shared" si="34"/>
        <v>100</v>
      </c>
      <c r="R182" s="383">
        <f t="shared" si="35"/>
        <v>100</v>
      </c>
      <c r="S182" s="384"/>
      <c r="T182" s="384"/>
      <c r="U182" s="384"/>
      <c r="V182" s="384"/>
      <c r="W182" s="384"/>
      <c r="X182" s="384"/>
      <c r="Y182" s="384"/>
      <c r="Z182" s="384"/>
      <c r="AA182" s="384"/>
      <c r="AB182" s="384"/>
      <c r="AC182" s="384"/>
      <c r="AD182" s="384"/>
      <c r="AE182" s="384"/>
      <c r="AF182" s="384"/>
      <c r="AG182" s="384"/>
      <c r="AH182" s="384"/>
      <c r="AI182" s="384"/>
      <c r="AJ182" s="384"/>
      <c r="AK182" s="384"/>
      <c r="AL182" s="384"/>
      <c r="AM182" s="384"/>
      <c r="AN182" s="384"/>
      <c r="AO182" s="384"/>
    </row>
    <row r="183" spans="1:41" s="396" customFormat="1" ht="12.75" customHeight="1">
      <c r="A183" s="397" t="s">
        <v>926</v>
      </c>
      <c r="B183" s="398"/>
      <c r="C183" s="398"/>
      <c r="D183" s="399"/>
      <c r="E183" s="398"/>
      <c r="F183" s="399"/>
      <c r="G183" s="399"/>
      <c r="H183" s="398"/>
      <c r="I183" s="397" t="s">
        <v>926</v>
      </c>
      <c r="J183" s="398"/>
      <c r="K183" s="398"/>
      <c r="L183" s="399"/>
      <c r="M183" s="398"/>
      <c r="N183" s="399"/>
      <c r="O183" s="399"/>
      <c r="P183" s="398"/>
      <c r="Q183" s="383"/>
      <c r="R183" s="383"/>
      <c r="S183" s="400"/>
      <c r="T183" s="400"/>
      <c r="U183" s="400"/>
      <c r="V183" s="400"/>
      <c r="W183" s="400"/>
      <c r="X183" s="400"/>
      <c r="Y183" s="400"/>
      <c r="Z183" s="400"/>
      <c r="AA183" s="400"/>
      <c r="AB183" s="400"/>
      <c r="AC183" s="400"/>
      <c r="AD183" s="400"/>
      <c r="AE183" s="400"/>
      <c r="AF183" s="400"/>
      <c r="AG183" s="400"/>
      <c r="AH183" s="400"/>
      <c r="AI183" s="400"/>
      <c r="AJ183" s="400"/>
      <c r="AK183" s="400"/>
      <c r="AL183" s="400"/>
      <c r="AM183" s="400"/>
      <c r="AN183" s="400"/>
      <c r="AO183" s="400"/>
    </row>
    <row r="184" spans="1:41" s="396" customFormat="1" ht="8.25" customHeight="1">
      <c r="A184" s="401"/>
      <c r="B184" s="410"/>
      <c r="C184" s="410"/>
      <c r="D184" s="351"/>
      <c r="E184" s="410"/>
      <c r="F184" s="410"/>
      <c r="G184" s="410"/>
      <c r="H184" s="410"/>
      <c r="I184" s="401"/>
      <c r="J184" s="410"/>
      <c r="K184" s="410"/>
      <c r="L184" s="351"/>
      <c r="M184" s="410"/>
      <c r="N184" s="410"/>
      <c r="O184" s="410"/>
      <c r="P184" s="410"/>
      <c r="Q184" s="383"/>
      <c r="R184" s="383"/>
      <c r="S184" s="400"/>
      <c r="T184" s="400"/>
      <c r="U184" s="400"/>
      <c r="V184" s="400"/>
      <c r="W184" s="400"/>
      <c r="X184" s="400"/>
      <c r="Y184" s="400"/>
      <c r="Z184" s="400"/>
      <c r="AA184" s="400"/>
      <c r="AB184" s="400"/>
      <c r="AC184" s="400"/>
      <c r="AD184" s="400"/>
      <c r="AE184" s="400"/>
      <c r="AF184" s="400"/>
      <c r="AG184" s="400"/>
      <c r="AH184" s="400"/>
      <c r="AI184" s="400"/>
      <c r="AJ184" s="400"/>
      <c r="AK184" s="400"/>
      <c r="AL184" s="400"/>
      <c r="AM184" s="400"/>
      <c r="AN184" s="400"/>
      <c r="AO184" s="400"/>
    </row>
    <row r="185" spans="1:41" s="396" customFormat="1" ht="13.5" customHeight="1">
      <c r="A185" s="407"/>
      <c r="B185" s="408"/>
      <c r="H185" s="402" t="s">
        <v>1007</v>
      </c>
      <c r="I185" s="407"/>
      <c r="P185" s="402" t="s">
        <v>1007</v>
      </c>
      <c r="Q185" s="383"/>
      <c r="R185" s="383"/>
    </row>
    <row r="186" spans="1:41" ht="18">
      <c r="A186" s="344" t="s">
        <v>937</v>
      </c>
      <c r="B186" s="345"/>
      <c r="C186" s="345"/>
      <c r="D186" s="345"/>
      <c r="E186" s="345"/>
      <c r="F186" s="345"/>
      <c r="G186" s="345"/>
      <c r="H186" s="345"/>
      <c r="I186" s="344" t="s">
        <v>938</v>
      </c>
      <c r="J186" s="346"/>
      <c r="K186" s="346"/>
      <c r="L186" s="345"/>
      <c r="M186" s="346"/>
      <c r="N186" s="346"/>
      <c r="O186" s="346"/>
      <c r="P186" s="346"/>
      <c r="Q186" s="383"/>
      <c r="R186" s="383"/>
    </row>
    <row r="187" spans="1:41">
      <c r="A187" s="350"/>
      <c r="B187" s="346"/>
      <c r="C187" s="346"/>
      <c r="D187" s="346"/>
      <c r="E187" s="346"/>
      <c r="F187" s="346"/>
      <c r="G187" s="346"/>
      <c r="H187" s="346"/>
      <c r="I187" s="350"/>
      <c r="J187" s="346"/>
      <c r="K187" s="346"/>
      <c r="L187" s="346"/>
      <c r="M187" s="346"/>
      <c r="N187" s="346"/>
      <c r="O187" s="346"/>
      <c r="P187" s="346"/>
      <c r="Q187" s="383"/>
      <c r="R187" s="383"/>
    </row>
    <row r="188" spans="1:41" ht="15.75">
      <c r="A188" s="352" t="s">
        <v>906</v>
      </c>
      <c r="B188" s="346"/>
      <c r="C188" s="346"/>
      <c r="D188" s="346"/>
      <c r="E188" s="346"/>
      <c r="F188" s="346"/>
      <c r="G188" s="346"/>
      <c r="H188" s="346"/>
      <c r="I188" s="352" t="s">
        <v>907</v>
      </c>
      <c r="J188" s="346"/>
      <c r="K188" s="346"/>
      <c r="L188" s="346"/>
      <c r="M188" s="346"/>
      <c r="N188" s="346"/>
      <c r="O188" s="346"/>
      <c r="P188" s="346"/>
      <c r="Q188" s="383"/>
      <c r="R188" s="383"/>
    </row>
    <row r="189" spans="1:41" ht="15.75">
      <c r="A189" s="352" t="s">
        <v>956</v>
      </c>
      <c r="B189" s="346"/>
      <c r="C189" s="346"/>
      <c r="D189" s="346"/>
      <c r="E189" s="346"/>
      <c r="F189" s="346"/>
      <c r="G189" s="346"/>
      <c r="H189" s="346"/>
      <c r="I189" s="352" t="s">
        <v>956</v>
      </c>
      <c r="J189" s="346"/>
      <c r="K189" s="346"/>
      <c r="L189" s="346"/>
      <c r="M189" s="346"/>
      <c r="N189" s="346"/>
      <c r="O189" s="346"/>
      <c r="P189" s="346"/>
      <c r="Q189" s="383"/>
      <c r="R189" s="383"/>
    </row>
    <row r="190" spans="1:41">
      <c r="A190" s="355"/>
      <c r="B190" s="356"/>
      <c r="C190" s="356"/>
      <c r="D190" s="356"/>
      <c r="E190" s="356"/>
      <c r="F190" s="356"/>
      <c r="G190" s="356"/>
      <c r="H190" s="356"/>
      <c r="I190" s="357"/>
      <c r="L190" s="358"/>
      <c r="P190" s="355"/>
      <c r="Q190" s="383"/>
      <c r="R190" s="383"/>
    </row>
    <row r="191" spans="1:41" s="365" customFormat="1">
      <c r="A191" s="360"/>
      <c r="B191" s="361" t="s">
        <v>908</v>
      </c>
      <c r="C191" s="361"/>
      <c r="D191" s="361"/>
      <c r="E191" s="361"/>
      <c r="F191" s="361"/>
      <c r="G191" s="361"/>
      <c r="H191" s="362"/>
      <c r="I191" s="360"/>
      <c r="J191" s="361" t="s">
        <v>908</v>
      </c>
      <c r="K191" s="361"/>
      <c r="L191" s="361"/>
      <c r="M191" s="361"/>
      <c r="N191" s="361"/>
      <c r="O191" s="361"/>
      <c r="P191" s="362"/>
      <c r="Q191" s="383"/>
      <c r="R191" s="383"/>
    </row>
    <row r="192" spans="1:41" s="365" customFormat="1">
      <c r="A192" s="360"/>
      <c r="B192" s="361" t="s">
        <v>909</v>
      </c>
      <c r="C192" s="361"/>
      <c r="D192" s="506" t="s">
        <v>910</v>
      </c>
      <c r="E192" s="504"/>
      <c r="F192" s="504"/>
      <c r="G192" s="504"/>
      <c r="H192" s="368" t="s">
        <v>800</v>
      </c>
      <c r="I192" s="360"/>
      <c r="J192" s="361" t="s">
        <v>909</v>
      </c>
      <c r="K192" s="361"/>
      <c r="L192" s="506" t="s">
        <v>910</v>
      </c>
      <c r="M192" s="504"/>
      <c r="N192" s="504"/>
      <c r="O192" s="504"/>
      <c r="P192" s="368" t="s">
        <v>800</v>
      </c>
      <c r="Q192" s="383"/>
      <c r="R192" s="383"/>
    </row>
    <row r="193" spans="1:41" s="365" customFormat="1" ht="40.5" customHeight="1">
      <c r="A193" s="360"/>
      <c r="B193" s="369" t="s">
        <v>911</v>
      </c>
      <c r="C193" s="370" t="s">
        <v>912</v>
      </c>
      <c r="D193" s="371" t="s">
        <v>913</v>
      </c>
      <c r="E193" s="372" t="s">
        <v>10</v>
      </c>
      <c r="F193" s="369" t="s">
        <v>914</v>
      </c>
      <c r="G193" s="373" t="s">
        <v>924</v>
      </c>
      <c r="H193" s="374" t="s">
        <v>916</v>
      </c>
      <c r="I193" s="360"/>
      <c r="J193" s="369" t="s">
        <v>911</v>
      </c>
      <c r="K193" s="370" t="s">
        <v>912</v>
      </c>
      <c r="L193" s="371" t="s">
        <v>913</v>
      </c>
      <c r="M193" s="372" t="s">
        <v>10</v>
      </c>
      <c r="N193" s="369" t="s">
        <v>914</v>
      </c>
      <c r="O193" s="373" t="s">
        <v>924</v>
      </c>
      <c r="P193" s="374" t="s">
        <v>916</v>
      </c>
      <c r="Q193" s="383"/>
      <c r="R193" s="383"/>
      <c r="T193" s="403"/>
    </row>
    <row r="194" spans="1:41" ht="15.75" customHeight="1">
      <c r="A194" s="404" t="s">
        <v>885</v>
      </c>
      <c r="B194" s="378">
        <f>('Pivot Table for Data Exchange'!$H$6)*100</f>
        <v>20.534250122270493</v>
      </c>
      <c r="C194" s="378">
        <f>('Pivot Table for Data Exchange'!$H$9)*100</f>
        <v>4.1384965045024309</v>
      </c>
      <c r="D194" s="379">
        <f>SUM(E194:G194)</f>
        <v>75.32725337322708</v>
      </c>
      <c r="E194" s="378">
        <f>('Pivot Table for Data Exchange'!$H$12)*100</f>
        <v>75.32725337322708</v>
      </c>
      <c r="F194" s="378">
        <f>('Pivot Table for Data Exchange'!$H$15)*100</f>
        <v>0</v>
      </c>
      <c r="G194" s="382">
        <f>('Pivot Table for Data Exchange'!$H$18)*100</f>
        <v>0</v>
      </c>
      <c r="H194" s="378">
        <f>('Pivot Table for Data Exchange'!$H$21)*100</f>
        <v>0</v>
      </c>
      <c r="I194" s="381" t="s">
        <v>885</v>
      </c>
      <c r="J194" s="378">
        <f>('Pivot Table for Data Exchange'!$H$24)*100</f>
        <v>0</v>
      </c>
      <c r="K194" s="378">
        <f>('Pivot Table for Data Exchange'!$H$27)*100</f>
        <v>0</v>
      </c>
      <c r="L194" s="379">
        <f>SUM(M194:O194)</f>
        <v>100</v>
      </c>
      <c r="M194" s="378">
        <f>('Pivot Table for Data Exchange'!$H$30)*100</f>
        <v>100</v>
      </c>
      <c r="N194" s="378">
        <f>('Pivot Table for Data Exchange'!$H$33)*100</f>
        <v>0</v>
      </c>
      <c r="O194" s="382">
        <f>('Pivot Table for Data Exchange'!$H$36)*100</f>
        <v>0</v>
      </c>
      <c r="P194" s="378">
        <f>('Pivot Table for Data Exchange'!$H$39)*100</f>
        <v>0</v>
      </c>
      <c r="Q194" s="383">
        <f t="shared" si="34"/>
        <v>100</v>
      </c>
      <c r="R194" s="383">
        <f t="shared" si="35"/>
        <v>100</v>
      </c>
      <c r="S194" s="384"/>
      <c r="T194" s="384"/>
      <c r="U194" s="384"/>
      <c r="V194" s="384"/>
      <c r="W194" s="384"/>
      <c r="X194" s="384"/>
      <c r="Y194" s="384"/>
      <c r="Z194" s="384"/>
      <c r="AA194" s="384"/>
      <c r="AB194" s="384"/>
      <c r="AC194" s="384"/>
      <c r="AD194" s="384"/>
      <c r="AE194" s="384"/>
      <c r="AF194" s="384"/>
      <c r="AG194" s="384"/>
      <c r="AH194" s="384"/>
      <c r="AI194" s="384"/>
      <c r="AJ194" s="384"/>
      <c r="AK194" s="384"/>
      <c r="AL194" s="384"/>
      <c r="AM194" s="384"/>
      <c r="AN194" s="384"/>
      <c r="AO194" s="384"/>
    </row>
    <row r="195" spans="1:41" ht="15.75" customHeight="1">
      <c r="A195" s="349" t="s">
        <v>886</v>
      </c>
      <c r="B195" s="378">
        <f>('Pivot Table for Data Exchange'!$H$42)*100</f>
        <v>78.998853220897246</v>
      </c>
      <c r="C195" s="378">
        <f>('Pivot Table for Data Exchange'!$H$45)*100</f>
        <v>1.6744699380049495</v>
      </c>
      <c r="D195" s="379">
        <f t="shared" ref="D195:D197" si="48">SUM(E195:G195)</f>
        <v>19.326676841097804</v>
      </c>
      <c r="E195" s="378">
        <f>('Pivot Table for Data Exchange'!$H$48)*100</f>
        <v>19.326676841097804</v>
      </c>
      <c r="F195" s="378">
        <f>('Pivot Table for Data Exchange'!$H$51)*100</f>
        <v>0</v>
      </c>
      <c r="G195" s="386">
        <f>('Pivot Table for Data Exchange'!$H$54)*100</f>
        <v>0</v>
      </c>
      <c r="H195" s="378">
        <f>('Pivot Table for Data Exchange'!$H$57)*100</f>
        <v>0</v>
      </c>
      <c r="I195" s="384" t="s">
        <v>886</v>
      </c>
      <c r="J195" s="378">
        <f>('Pivot Table for Data Exchange'!$H$60)*100</f>
        <v>66.099635479951402</v>
      </c>
      <c r="K195" s="378">
        <f>('Pivot Table for Data Exchange'!$H$63)*100</f>
        <v>0</v>
      </c>
      <c r="L195" s="379">
        <f t="shared" ref="L195:L197" si="49">SUM(M195:O195)</f>
        <v>33.900364520048605</v>
      </c>
      <c r="M195" s="378">
        <f>('Pivot Table for Data Exchange'!$H$66)*100</f>
        <v>33.900364520048605</v>
      </c>
      <c r="N195" s="378">
        <f>('Pivot Table for Data Exchange'!$H$69)*100</f>
        <v>0</v>
      </c>
      <c r="O195" s="386">
        <f>('Pivot Table for Data Exchange'!$H$72)*100</f>
        <v>0</v>
      </c>
      <c r="P195" s="378">
        <f>('Pivot Table for Data Exchange'!$H$75)*100</f>
        <v>0</v>
      </c>
      <c r="Q195" s="383">
        <f t="shared" si="34"/>
        <v>100</v>
      </c>
      <c r="R195" s="383">
        <f t="shared" si="35"/>
        <v>100</v>
      </c>
      <c r="S195" s="384"/>
      <c r="T195" s="384"/>
      <c r="U195" s="384"/>
      <c r="V195" s="384"/>
      <c r="W195" s="384"/>
      <c r="X195" s="384"/>
      <c r="Y195" s="384"/>
      <c r="Z195" s="384"/>
      <c r="AA195" s="384"/>
      <c r="AB195" s="384"/>
      <c r="AC195" s="384"/>
      <c r="AD195" s="384"/>
      <c r="AE195" s="384"/>
      <c r="AF195" s="384"/>
      <c r="AG195" s="384"/>
      <c r="AH195" s="384"/>
      <c r="AI195" s="384"/>
      <c r="AJ195" s="384"/>
      <c r="AK195" s="384"/>
      <c r="AL195" s="384"/>
      <c r="AM195" s="384"/>
      <c r="AN195" s="384"/>
      <c r="AO195" s="384"/>
    </row>
    <row r="196" spans="1:41" ht="15.75" customHeight="1">
      <c r="A196" s="349" t="s">
        <v>887</v>
      </c>
      <c r="B196" s="378">
        <f>('Pivot Table for Data Exchange'!$H$78)*100</f>
        <v>0</v>
      </c>
      <c r="C196" s="378">
        <f>('Pivot Table for Data Exchange'!$H$81)*100</f>
        <v>0</v>
      </c>
      <c r="D196" s="379">
        <f t="shared" si="48"/>
        <v>0</v>
      </c>
      <c r="E196" s="378">
        <f>('Pivot Table for Data Exchange'!$H$84)*100</f>
        <v>0</v>
      </c>
      <c r="F196" s="378">
        <f>('Pivot Table for Data Exchange'!$H$87)*100</f>
        <v>0</v>
      </c>
      <c r="G196" s="386">
        <f>('Pivot Table for Data Exchange'!$H$90)*100</f>
        <v>0</v>
      </c>
      <c r="H196" s="378">
        <f>('Pivot Table for Data Exchange'!$H$93)*100</f>
        <v>0</v>
      </c>
      <c r="I196" s="384" t="s">
        <v>887</v>
      </c>
      <c r="J196" s="378">
        <f>('Pivot Table for Data Exchange'!$H$96)*100</f>
        <v>0</v>
      </c>
      <c r="K196" s="378">
        <f>('Pivot Table for Data Exchange'!$H$99)*100</f>
        <v>0</v>
      </c>
      <c r="L196" s="379">
        <f t="shared" si="49"/>
        <v>0</v>
      </c>
      <c r="M196" s="378">
        <f>('Pivot Table for Data Exchange'!$H$102)*100</f>
        <v>0</v>
      </c>
      <c r="N196" s="378">
        <f>('Pivot Table for Data Exchange'!$H$105)*100</f>
        <v>0</v>
      </c>
      <c r="O196" s="386">
        <f>('Pivot Table for Data Exchange'!$H$108)*100</f>
        <v>0</v>
      </c>
      <c r="P196" s="378">
        <f>('Pivot Table for Data Exchange'!$H$111)*100</f>
        <v>0</v>
      </c>
      <c r="Q196" s="383">
        <f t="shared" si="34"/>
        <v>0</v>
      </c>
      <c r="R196" s="383">
        <f t="shared" si="35"/>
        <v>0</v>
      </c>
      <c r="S196" s="384"/>
      <c r="T196" s="358"/>
      <c r="U196" s="384"/>
      <c r="V196" s="384"/>
      <c r="W196" s="384"/>
      <c r="X196" s="384"/>
      <c r="Y196" s="384"/>
      <c r="Z196" s="384"/>
      <c r="AA196" s="384"/>
      <c r="AB196" s="384"/>
      <c r="AC196" s="384"/>
      <c r="AD196" s="384"/>
      <c r="AE196" s="384"/>
      <c r="AF196" s="384"/>
      <c r="AG196" s="384"/>
      <c r="AH196" s="384"/>
      <c r="AI196" s="384"/>
      <c r="AJ196" s="384"/>
      <c r="AK196" s="384"/>
      <c r="AL196" s="384"/>
      <c r="AM196" s="384"/>
      <c r="AN196" s="384"/>
      <c r="AO196" s="384"/>
    </row>
    <row r="197" spans="1:41" ht="15.75" customHeight="1">
      <c r="A197" s="349" t="s">
        <v>925</v>
      </c>
      <c r="B197" s="378">
        <f>('Pivot Table for Data Exchange'!$H$114)*100</f>
        <v>0</v>
      </c>
      <c r="C197" s="378">
        <f>('Pivot Table for Data Exchange'!$H$117)*100</f>
        <v>0</v>
      </c>
      <c r="D197" s="379">
        <f t="shared" si="48"/>
        <v>0</v>
      </c>
      <c r="E197" s="378">
        <f>('Pivot Table for Data Exchange'!$H$120)*100</f>
        <v>0</v>
      </c>
      <c r="F197" s="378">
        <f>('Pivot Table for Data Exchange'!$H$123)*100</f>
        <v>0</v>
      </c>
      <c r="G197" s="386">
        <f>('Pivot Table for Data Exchange'!$H$126)*100</f>
        <v>0</v>
      </c>
      <c r="H197" s="378">
        <f>('Pivot Table for Data Exchange'!$H$129)*100</f>
        <v>0</v>
      </c>
      <c r="I197" s="384" t="s">
        <v>888</v>
      </c>
      <c r="J197" s="378">
        <f>('Pivot Table for Data Exchange'!$H$132)*100</f>
        <v>0</v>
      </c>
      <c r="K197" s="378">
        <f>('Pivot Table for Data Exchange'!$H$135)*100</f>
        <v>0</v>
      </c>
      <c r="L197" s="379">
        <f t="shared" si="49"/>
        <v>0</v>
      </c>
      <c r="M197" s="378">
        <f>('Pivot Table for Data Exchange'!$H$138)*100</f>
        <v>0</v>
      </c>
      <c r="N197" s="378">
        <f>('Pivot Table for Data Exchange'!$H$141)*100</f>
        <v>0</v>
      </c>
      <c r="O197" s="386">
        <f>('Pivot Table for Data Exchange'!$H$144)*100</f>
        <v>0</v>
      </c>
      <c r="P197" s="378">
        <f>('Pivot Table for Data Exchange'!$H$147)*100</f>
        <v>0</v>
      </c>
      <c r="Q197" s="383">
        <f t="shared" si="34"/>
        <v>0</v>
      </c>
      <c r="R197" s="383">
        <f t="shared" si="35"/>
        <v>0</v>
      </c>
      <c r="S197" s="384"/>
      <c r="U197" s="384"/>
      <c r="V197" s="384"/>
      <c r="W197" s="384"/>
      <c r="X197" s="384"/>
      <c r="Y197" s="384"/>
      <c r="Z197" s="384"/>
      <c r="AA197" s="384"/>
      <c r="AB197" s="384"/>
      <c r="AC197" s="384"/>
      <c r="AD197" s="384"/>
      <c r="AE197" s="384"/>
      <c r="AF197" s="384"/>
      <c r="AG197" s="384"/>
      <c r="AH197" s="384"/>
      <c r="AI197" s="384"/>
      <c r="AJ197" s="384"/>
      <c r="AK197" s="384"/>
      <c r="AL197" s="384"/>
      <c r="AM197" s="384"/>
      <c r="AN197" s="384"/>
      <c r="AO197" s="384"/>
    </row>
    <row r="198" spans="1:41" ht="15.75" customHeight="1">
      <c r="B198" s="378"/>
      <c r="C198" s="378"/>
      <c r="D198" s="379"/>
      <c r="E198" s="378"/>
      <c r="F198" s="378"/>
      <c r="G198" s="386"/>
      <c r="H198" s="378"/>
      <c r="I198" s="384"/>
      <c r="J198" s="378"/>
      <c r="K198" s="378"/>
      <c r="L198" s="379"/>
      <c r="M198" s="378"/>
      <c r="N198" s="378"/>
      <c r="O198" s="386"/>
      <c r="P198" s="378"/>
      <c r="Q198" s="383">
        <f t="shared" si="34"/>
        <v>0</v>
      </c>
      <c r="R198" s="383">
        <f t="shared" si="35"/>
        <v>0</v>
      </c>
      <c r="S198" s="384"/>
      <c r="U198" s="384"/>
      <c r="V198" s="384"/>
      <c r="W198" s="384"/>
      <c r="X198" s="384"/>
      <c r="Y198" s="384"/>
      <c r="Z198" s="384"/>
      <c r="AA198" s="384"/>
      <c r="AB198" s="384"/>
      <c r="AC198" s="384"/>
      <c r="AD198" s="384"/>
      <c r="AE198" s="384"/>
      <c r="AF198" s="384"/>
      <c r="AG198" s="384"/>
      <c r="AH198" s="384"/>
      <c r="AI198" s="384"/>
      <c r="AJ198" s="384"/>
      <c r="AK198" s="384"/>
      <c r="AL198" s="384"/>
      <c r="AM198" s="384"/>
      <c r="AN198" s="384"/>
      <c r="AO198" s="384"/>
    </row>
    <row r="199" spans="1:41" ht="15.75" customHeight="1">
      <c r="A199" s="349" t="s">
        <v>889</v>
      </c>
      <c r="B199" s="378">
        <f>('Pivot Table for Data Exchange'!$H$150)*100</f>
        <v>85.561714708056172</v>
      </c>
      <c r="C199" s="378">
        <f>('Pivot Table for Data Exchange'!$H$153)*100</f>
        <v>2.5030303030303029</v>
      </c>
      <c r="D199" s="379">
        <f t="shared" ref="D199:D202" si="50">SUM(E199:G199)</f>
        <v>11.935254988913526</v>
      </c>
      <c r="E199" s="378">
        <f>('Pivot Table for Data Exchange'!$H$156)*100</f>
        <v>11.699630450849963</v>
      </c>
      <c r="F199" s="378">
        <f>('Pivot Table for Data Exchange'!$H$159)*100</f>
        <v>0.23562453806356246</v>
      </c>
      <c r="G199" s="386">
        <f>('Pivot Table for Data Exchange'!$H$162)*100</f>
        <v>0</v>
      </c>
      <c r="H199" s="378">
        <f>('Pivot Table for Data Exchange'!$H$165)*100</f>
        <v>0</v>
      </c>
      <c r="I199" s="384" t="s">
        <v>889</v>
      </c>
      <c r="J199" s="378">
        <f>('Pivot Table for Data Exchange'!$H$168)*100</f>
        <v>0</v>
      </c>
      <c r="K199" s="378">
        <f>('Pivot Table for Data Exchange'!$H$171)*100</f>
        <v>0</v>
      </c>
      <c r="L199" s="379">
        <f t="shared" ref="L199:L202" si="51">SUM(M199:O199)</f>
        <v>100</v>
      </c>
      <c r="M199" s="378">
        <f>('Pivot Table for Data Exchange'!$H$174)*100</f>
        <v>100</v>
      </c>
      <c r="N199" s="378">
        <f>('Pivot Table for Data Exchange'!$H$177)*100</f>
        <v>0</v>
      </c>
      <c r="O199" s="386">
        <f>('Pivot Table for Data Exchange'!$H$180)*100</f>
        <v>0</v>
      </c>
      <c r="P199" s="378">
        <f>('Pivot Table for Data Exchange'!$H$183)*100</f>
        <v>0</v>
      </c>
      <c r="Q199" s="383">
        <f t="shared" si="34"/>
        <v>100</v>
      </c>
      <c r="R199" s="383">
        <f t="shared" si="35"/>
        <v>100</v>
      </c>
      <c r="S199" s="384"/>
      <c r="T199" s="384"/>
      <c r="U199" s="384"/>
      <c r="V199" s="384"/>
      <c r="W199" s="384"/>
      <c r="X199" s="384"/>
      <c r="Y199" s="384"/>
      <c r="Z199" s="384"/>
      <c r="AA199" s="384"/>
      <c r="AB199" s="384"/>
      <c r="AC199" s="384"/>
      <c r="AD199" s="384"/>
      <c r="AE199" s="384"/>
      <c r="AF199" s="384"/>
      <c r="AG199" s="384"/>
      <c r="AH199" s="384"/>
      <c r="AI199" s="384"/>
      <c r="AJ199" s="384"/>
      <c r="AK199" s="384"/>
      <c r="AL199" s="384"/>
      <c r="AM199" s="384"/>
      <c r="AN199" s="384"/>
      <c r="AO199" s="384"/>
    </row>
    <row r="200" spans="1:41" ht="15.75" customHeight="1">
      <c r="A200" s="349" t="s">
        <v>890</v>
      </c>
      <c r="B200" s="378">
        <f>('Pivot Table for Data Exchange'!$H$186)*100</f>
        <v>0</v>
      </c>
      <c r="C200" s="378">
        <f>('Pivot Table for Data Exchange'!$H$189)*100</f>
        <v>0</v>
      </c>
      <c r="D200" s="379">
        <f t="shared" si="50"/>
        <v>0</v>
      </c>
      <c r="E200" s="378">
        <f>('Pivot Table for Data Exchange'!$H$192)*100</f>
        <v>0</v>
      </c>
      <c r="F200" s="378">
        <f>('Pivot Table for Data Exchange'!$H$195)*100</f>
        <v>0</v>
      </c>
      <c r="G200" s="386">
        <f>('Pivot Table for Data Exchange'!$H$198)*100</f>
        <v>0</v>
      </c>
      <c r="H200" s="378">
        <f>('Pivot Table for Data Exchange'!$H$201)*100</f>
        <v>0</v>
      </c>
      <c r="I200" s="384" t="s">
        <v>890</v>
      </c>
      <c r="J200" s="378">
        <f>('Pivot Table for Data Exchange'!$H$204)*100</f>
        <v>0</v>
      </c>
      <c r="K200" s="378">
        <f>('Pivot Table for Data Exchange'!$H$207)*100</f>
        <v>0</v>
      </c>
      <c r="L200" s="379">
        <f t="shared" si="51"/>
        <v>0</v>
      </c>
      <c r="M200" s="378">
        <f>('Pivot Table for Data Exchange'!$H$210)*100</f>
        <v>0</v>
      </c>
      <c r="N200" s="378">
        <f>('Pivot Table for Data Exchange'!$H$213)*100</f>
        <v>0</v>
      </c>
      <c r="O200" s="386">
        <f>('Pivot Table for Data Exchange'!$H$216)*100</f>
        <v>0</v>
      </c>
      <c r="P200" s="378">
        <f>('Pivot Table for Data Exchange'!$H$219)*100</f>
        <v>0</v>
      </c>
      <c r="Q200" s="383">
        <f t="shared" si="34"/>
        <v>0</v>
      </c>
      <c r="R200" s="383">
        <f t="shared" si="35"/>
        <v>0</v>
      </c>
      <c r="S200" s="384"/>
      <c r="T200" s="384"/>
      <c r="U200" s="384"/>
      <c r="V200" s="384"/>
      <c r="W200" s="384"/>
      <c r="X200" s="384"/>
      <c r="Y200" s="384"/>
      <c r="Z200" s="384"/>
      <c r="AA200" s="384"/>
      <c r="AB200" s="384"/>
      <c r="AC200" s="384"/>
      <c r="AD200" s="384"/>
      <c r="AE200" s="384"/>
      <c r="AF200" s="384"/>
      <c r="AG200" s="384"/>
      <c r="AH200" s="384"/>
      <c r="AI200" s="384"/>
      <c r="AJ200" s="384"/>
      <c r="AK200" s="384"/>
      <c r="AL200" s="384"/>
      <c r="AM200" s="384"/>
      <c r="AN200" s="384"/>
      <c r="AO200" s="384"/>
    </row>
    <row r="201" spans="1:41" ht="15.75" customHeight="1">
      <c r="A201" s="349" t="s">
        <v>891</v>
      </c>
      <c r="B201" s="378">
        <f>('Pivot Table for Data Exchange'!$H$222)*100</f>
        <v>74.513438368860108</v>
      </c>
      <c r="C201" s="378">
        <f>('Pivot Table for Data Exchange'!$H$225)*100</f>
        <v>0</v>
      </c>
      <c r="D201" s="379">
        <f t="shared" si="50"/>
        <v>25.486561631139892</v>
      </c>
      <c r="E201" s="378">
        <f>('Pivot Table for Data Exchange'!$H$228)*100</f>
        <v>25.486561631139892</v>
      </c>
      <c r="F201" s="378">
        <f>('Pivot Table for Data Exchange'!$H$231)*100</f>
        <v>0</v>
      </c>
      <c r="G201" s="386">
        <f>('Pivot Table for Data Exchange'!$H$234)*100</f>
        <v>0</v>
      </c>
      <c r="H201" s="378">
        <f>('Pivot Table for Data Exchange'!$H$237)*100</f>
        <v>0</v>
      </c>
      <c r="I201" s="384" t="s">
        <v>891</v>
      </c>
      <c r="J201" s="378">
        <f>('Pivot Table for Data Exchange'!$H$240)*100</f>
        <v>0</v>
      </c>
      <c r="K201" s="378">
        <f>('Pivot Table for Data Exchange'!$H$243)*100</f>
        <v>0</v>
      </c>
      <c r="L201" s="379">
        <f t="shared" si="51"/>
        <v>0</v>
      </c>
      <c r="M201" s="378">
        <f>('Pivot Table for Data Exchange'!$H$246)*100</f>
        <v>0</v>
      </c>
      <c r="N201" s="378">
        <f>('Pivot Table for Data Exchange'!$H$249)*100</f>
        <v>0</v>
      </c>
      <c r="O201" s="386">
        <f>('Pivot Table for Data Exchange'!$H$252)*100</f>
        <v>0</v>
      </c>
      <c r="P201" s="378">
        <f>('Pivot Table for Data Exchange'!$H$255)*100</f>
        <v>0</v>
      </c>
      <c r="Q201" s="383">
        <f t="shared" si="34"/>
        <v>100</v>
      </c>
      <c r="R201" s="383">
        <f t="shared" si="35"/>
        <v>0</v>
      </c>
      <c r="S201" s="384"/>
      <c r="T201" s="358"/>
      <c r="U201" s="384"/>
      <c r="V201" s="384"/>
      <c r="W201" s="384"/>
      <c r="X201" s="384"/>
      <c r="Y201" s="384"/>
      <c r="Z201" s="384"/>
      <c r="AA201" s="384"/>
      <c r="AB201" s="384"/>
      <c r="AC201" s="384"/>
      <c r="AD201" s="384"/>
      <c r="AE201" s="384"/>
      <c r="AF201" s="384"/>
      <c r="AG201" s="384"/>
      <c r="AH201" s="384"/>
      <c r="AI201" s="384"/>
      <c r="AJ201" s="384"/>
      <c r="AK201" s="384"/>
      <c r="AL201" s="384"/>
      <c r="AM201" s="384"/>
      <c r="AN201" s="384"/>
      <c r="AO201" s="384"/>
    </row>
    <row r="202" spans="1:41" ht="15.75" customHeight="1">
      <c r="A202" s="349" t="s">
        <v>892</v>
      </c>
      <c r="B202" s="378">
        <f>('Pivot Table for Data Exchange'!$H$258)*100</f>
        <v>100</v>
      </c>
      <c r="C202" s="378">
        <f>('Pivot Table for Data Exchange'!$H$261)*100</f>
        <v>0</v>
      </c>
      <c r="D202" s="379">
        <f t="shared" si="50"/>
        <v>0</v>
      </c>
      <c r="E202" s="378">
        <f>('Pivot Table for Data Exchange'!$H$264)*100</f>
        <v>0</v>
      </c>
      <c r="F202" s="378">
        <f>('Pivot Table for Data Exchange'!$H$267)*100</f>
        <v>0</v>
      </c>
      <c r="G202" s="386">
        <f>('Pivot Table for Data Exchange'!$H$270)*100</f>
        <v>0</v>
      </c>
      <c r="H202" s="378">
        <f>('Pivot Table for Data Exchange'!$H$273)*100</f>
        <v>0</v>
      </c>
      <c r="I202" s="384" t="s">
        <v>892</v>
      </c>
      <c r="J202" s="378">
        <f>('Pivot Table for Data Exchange'!$H$276)*100</f>
        <v>100</v>
      </c>
      <c r="K202" s="378">
        <f>('Pivot Table for Data Exchange'!$H$279)*100</f>
        <v>0</v>
      </c>
      <c r="L202" s="379">
        <f t="shared" si="51"/>
        <v>0</v>
      </c>
      <c r="M202" s="378">
        <f>('Pivot Table for Data Exchange'!$H$282)*100</f>
        <v>0</v>
      </c>
      <c r="N202" s="378">
        <f>('Pivot Table for Data Exchange'!$H$285)*100</f>
        <v>0</v>
      </c>
      <c r="O202" s="386">
        <f>('Pivot Table for Data Exchange'!$H$288)*100</f>
        <v>0</v>
      </c>
      <c r="P202" s="378">
        <f>('Pivot Table for Data Exchange'!$H$291)*100</f>
        <v>0</v>
      </c>
      <c r="Q202" s="383">
        <f t="shared" si="34"/>
        <v>100</v>
      </c>
      <c r="R202" s="383">
        <f t="shared" si="35"/>
        <v>100</v>
      </c>
      <c r="S202" s="384"/>
      <c r="U202" s="384"/>
      <c r="V202" s="384"/>
      <c r="W202" s="384"/>
      <c r="X202" s="384"/>
      <c r="Y202" s="384"/>
      <c r="Z202" s="384"/>
      <c r="AA202" s="384"/>
      <c r="AB202" s="384"/>
      <c r="AC202" s="384"/>
      <c r="AD202" s="384"/>
      <c r="AE202" s="384"/>
      <c r="AF202" s="384"/>
      <c r="AG202" s="384"/>
      <c r="AH202" s="384"/>
      <c r="AI202" s="384"/>
      <c r="AJ202" s="384"/>
      <c r="AK202" s="384"/>
      <c r="AL202" s="384"/>
      <c r="AM202" s="384"/>
      <c r="AN202" s="384"/>
      <c r="AO202" s="384"/>
    </row>
    <row r="203" spans="1:41" ht="11.25" customHeight="1">
      <c r="B203" s="378"/>
      <c r="C203" s="378"/>
      <c r="D203" s="379"/>
      <c r="E203" s="378"/>
      <c r="F203" s="378"/>
      <c r="G203" s="386"/>
      <c r="H203" s="378"/>
      <c r="I203" s="384"/>
      <c r="J203" s="378"/>
      <c r="K203" s="378"/>
      <c r="L203" s="379"/>
      <c r="M203" s="378"/>
      <c r="N203" s="378"/>
      <c r="O203" s="386"/>
      <c r="P203" s="378"/>
      <c r="Q203" s="383">
        <f t="shared" ref="Q203:Q266" si="52">SUM(B203,C203,D203,H203)</f>
        <v>0</v>
      </c>
      <c r="R203" s="383">
        <f t="shared" ref="R203:R216" si="53">SUM(J203,K203,L203,P203)</f>
        <v>0</v>
      </c>
      <c r="S203" s="384"/>
      <c r="U203" s="384"/>
      <c r="V203" s="384"/>
      <c r="W203" s="384"/>
      <c r="X203" s="384"/>
      <c r="Y203" s="384"/>
      <c r="Z203" s="384"/>
      <c r="AA203" s="384"/>
      <c r="AB203" s="384"/>
      <c r="AC203" s="384"/>
      <c r="AD203" s="384"/>
      <c r="AE203" s="384"/>
      <c r="AF203" s="384"/>
      <c r="AG203" s="384"/>
      <c r="AH203" s="384"/>
      <c r="AI203" s="384"/>
      <c r="AJ203" s="384"/>
      <c r="AK203" s="384"/>
      <c r="AL203" s="384"/>
      <c r="AM203" s="384"/>
      <c r="AN203" s="384"/>
      <c r="AO203" s="384"/>
    </row>
    <row r="204" spans="1:41" ht="15.75" customHeight="1">
      <c r="A204" s="349" t="s">
        <v>893</v>
      </c>
      <c r="B204" s="378">
        <f>('Pivot Table for Data Exchange'!$H$294)*100</f>
        <v>0</v>
      </c>
      <c r="C204" s="378">
        <f>('Pivot Table for Data Exchange'!$H$297)*100</f>
        <v>0</v>
      </c>
      <c r="D204" s="379">
        <f t="shared" ref="D204:D206" si="54">SUM(E204:G204)</f>
        <v>0</v>
      </c>
      <c r="E204" s="378">
        <f>('Pivot Table for Data Exchange'!$H$300)*100</f>
        <v>0</v>
      </c>
      <c r="F204" s="378">
        <f>('Pivot Table for Data Exchange'!$H$303)*100</f>
        <v>0</v>
      </c>
      <c r="G204" s="386">
        <f>('Pivot Table for Data Exchange'!$H$306)*100</f>
        <v>0</v>
      </c>
      <c r="H204" s="378">
        <f>('Pivot Table for Data Exchange'!$H$309)*100</f>
        <v>0</v>
      </c>
      <c r="I204" s="384" t="s">
        <v>893</v>
      </c>
      <c r="J204" s="378">
        <f>('Pivot Table for Data Exchange'!$H$312)*100</f>
        <v>0</v>
      </c>
      <c r="K204" s="378">
        <f>('Pivot Table for Data Exchange'!$H$315)*100</f>
        <v>0</v>
      </c>
      <c r="L204" s="379">
        <f t="shared" ref="L204:L206" si="55">SUM(M204:O204)</f>
        <v>0</v>
      </c>
      <c r="M204" s="378">
        <f>('Pivot Table for Data Exchange'!$H$318)*100</f>
        <v>0</v>
      </c>
      <c r="N204" s="378">
        <f>('Pivot Table for Data Exchange'!$H$321)*100</f>
        <v>0</v>
      </c>
      <c r="O204" s="386">
        <f>('Pivot Table for Data Exchange'!$H$324)*100</f>
        <v>0</v>
      </c>
      <c r="P204" s="378">
        <f>('Pivot Table for Data Exchange'!$H$327)*100</f>
        <v>0</v>
      </c>
      <c r="Q204" s="383">
        <f t="shared" si="52"/>
        <v>0</v>
      </c>
      <c r="R204" s="383">
        <f t="shared" si="53"/>
        <v>0</v>
      </c>
      <c r="S204" s="384"/>
      <c r="T204" s="384"/>
      <c r="U204" s="384"/>
      <c r="V204" s="384"/>
      <c r="W204" s="384"/>
      <c r="X204" s="384"/>
      <c r="Y204" s="384"/>
      <c r="Z204" s="384"/>
      <c r="AA204" s="384"/>
      <c r="AB204" s="384"/>
      <c r="AC204" s="384"/>
      <c r="AD204" s="384"/>
      <c r="AE204" s="384"/>
      <c r="AF204" s="384"/>
      <c r="AG204" s="384"/>
      <c r="AH204" s="384"/>
      <c r="AI204" s="384"/>
      <c r="AJ204" s="384"/>
      <c r="AK204" s="384"/>
      <c r="AL204" s="384"/>
      <c r="AM204" s="384"/>
      <c r="AN204" s="384"/>
      <c r="AO204" s="384"/>
    </row>
    <row r="205" spans="1:41" ht="15.75" customHeight="1">
      <c r="A205" s="349" t="s">
        <v>894</v>
      </c>
      <c r="B205" s="378">
        <f>('Pivot Table for Data Exchange'!$H$330)*100</f>
        <v>88.761777499011444</v>
      </c>
      <c r="C205" s="378">
        <f>('Pivot Table for Data Exchange'!$H$333)*100</f>
        <v>0.51541471795361271</v>
      </c>
      <c r="D205" s="379">
        <f t="shared" si="54"/>
        <v>10.722807783034947</v>
      </c>
      <c r="E205" s="378">
        <f>('Pivot Table for Data Exchange'!$H$336)*100</f>
        <v>9.033392874186994</v>
      </c>
      <c r="F205" s="378">
        <f>('Pivot Table for Data Exchange'!$H$339)*100</f>
        <v>1.6894149088479526</v>
      </c>
      <c r="G205" s="386">
        <f>('Pivot Table for Data Exchange'!$H$342)*100</f>
        <v>0</v>
      </c>
      <c r="H205" s="378">
        <f>('Pivot Table for Data Exchange'!$H$345)*100</f>
        <v>0</v>
      </c>
      <c r="I205" s="384" t="s">
        <v>894</v>
      </c>
      <c r="J205" s="378">
        <f>('Pivot Table for Data Exchange'!$H$348)*100</f>
        <v>89.815817984832066</v>
      </c>
      <c r="K205" s="378">
        <f>('Pivot Table for Data Exchange'!$H$351)*100</f>
        <v>0</v>
      </c>
      <c r="L205" s="379">
        <f t="shared" si="55"/>
        <v>10.184182015167931</v>
      </c>
      <c r="M205" s="378">
        <f>('Pivot Table for Data Exchange'!$H$354)*100</f>
        <v>10.184182015167931</v>
      </c>
      <c r="N205" s="378">
        <f>('Pivot Table for Data Exchange'!$H$357)*100</f>
        <v>0</v>
      </c>
      <c r="O205" s="386">
        <f>('Pivot Table for Data Exchange'!$H$360)*100</f>
        <v>0</v>
      </c>
      <c r="P205" s="378">
        <f>('Pivot Table for Data Exchange'!$H$363)*100</f>
        <v>0</v>
      </c>
      <c r="Q205" s="383">
        <f t="shared" si="52"/>
        <v>100.00000000000001</v>
      </c>
      <c r="R205" s="383">
        <f t="shared" si="53"/>
        <v>100</v>
      </c>
      <c r="S205" s="384"/>
      <c r="T205" s="384"/>
      <c r="U205" s="384"/>
      <c r="V205" s="384"/>
      <c r="W205" s="384"/>
      <c r="X205" s="384"/>
      <c r="Y205" s="384"/>
      <c r="Z205" s="384"/>
      <c r="AA205" s="384"/>
      <c r="AB205" s="384"/>
      <c r="AC205" s="384"/>
      <c r="AD205" s="384"/>
      <c r="AE205" s="384"/>
      <c r="AF205" s="384"/>
      <c r="AG205" s="384"/>
      <c r="AH205" s="384"/>
      <c r="AI205" s="384"/>
      <c r="AJ205" s="384"/>
      <c r="AK205" s="384"/>
      <c r="AL205" s="384"/>
      <c r="AM205" s="384"/>
      <c r="AN205" s="384"/>
      <c r="AO205" s="384"/>
    </row>
    <row r="206" spans="1:41" ht="15.75" customHeight="1">
      <c r="A206" s="349" t="s">
        <v>895</v>
      </c>
      <c r="B206" s="378">
        <f>('Pivot Table for Data Exchange'!$H$366)*100</f>
        <v>76.992217166825753</v>
      </c>
      <c r="C206" s="378">
        <f>('Pivot Table for Data Exchange'!$H$369)*100</f>
        <v>0</v>
      </c>
      <c r="D206" s="379">
        <f t="shared" si="54"/>
        <v>23.007782833174236</v>
      </c>
      <c r="E206" s="378">
        <f>('Pivot Table for Data Exchange'!$H$372)*100</f>
        <v>21.503473359299335</v>
      </c>
      <c r="F206" s="378">
        <f>('Pivot Table for Data Exchange'!$H$375)*100</f>
        <v>1.4632005072428425</v>
      </c>
      <c r="G206" s="386">
        <f>('Pivot Table for Data Exchange'!$H$378)*100</f>
        <v>4.110896663206081E-2</v>
      </c>
      <c r="H206" s="378">
        <f>('Pivot Table for Data Exchange'!$H$381)*100</f>
        <v>0</v>
      </c>
      <c r="I206" s="384" t="s">
        <v>895</v>
      </c>
      <c r="J206" s="378">
        <f>('Pivot Table for Data Exchange'!$H$384)*100</f>
        <v>100</v>
      </c>
      <c r="K206" s="378">
        <f>('Pivot Table for Data Exchange'!$H$387)*100</f>
        <v>0</v>
      </c>
      <c r="L206" s="379">
        <f t="shared" si="55"/>
        <v>0</v>
      </c>
      <c r="M206" s="378">
        <f>('Pivot Table for Data Exchange'!$H$390)*100</f>
        <v>0</v>
      </c>
      <c r="N206" s="378">
        <f>('Pivot Table for Data Exchange'!$H$393)*100</f>
        <v>0</v>
      </c>
      <c r="O206" s="386">
        <f>('Pivot Table for Data Exchange'!$H$396)*100</f>
        <v>0</v>
      </c>
      <c r="P206" s="378">
        <f>('Pivot Table for Data Exchange'!$H$399)*100</f>
        <v>0</v>
      </c>
      <c r="Q206" s="383">
        <f t="shared" si="52"/>
        <v>99.999999999999986</v>
      </c>
      <c r="R206" s="383">
        <f t="shared" si="53"/>
        <v>100</v>
      </c>
      <c r="S206" s="384"/>
      <c r="T206" s="358"/>
      <c r="U206" s="384"/>
      <c r="V206" s="384"/>
      <c r="W206" s="384"/>
      <c r="X206" s="384"/>
      <c r="Y206" s="384"/>
      <c r="Z206" s="384"/>
      <c r="AA206" s="384"/>
      <c r="AB206" s="384"/>
      <c r="AC206" s="384"/>
      <c r="AD206" s="384"/>
      <c r="AE206" s="384"/>
      <c r="AF206" s="384"/>
      <c r="AG206" s="384"/>
      <c r="AH206" s="384"/>
      <c r="AI206" s="384"/>
      <c r="AJ206" s="384"/>
      <c r="AK206" s="384"/>
      <c r="AL206" s="384"/>
      <c r="AM206" s="384"/>
      <c r="AN206" s="384"/>
      <c r="AO206" s="384"/>
    </row>
    <row r="207" spans="1:41" ht="15.75" customHeight="1">
      <c r="A207" s="349" t="s">
        <v>896</v>
      </c>
      <c r="B207" s="378">
        <f>('Pivot Table for Data Exchange'!$H$402)*100</f>
        <v>87.425398090785649</v>
      </c>
      <c r="C207" s="378">
        <f>('Pivot Table for Data Exchange'!$H$405)*100</f>
        <v>8.4313500293881197E-2</v>
      </c>
      <c r="D207" s="379">
        <f>SUM(E207:G207)</f>
        <v>12.490288408920476</v>
      </c>
      <c r="E207" s="378">
        <f>('Pivot Table for Data Exchange'!$H$408)*100</f>
        <v>12.490288408920476</v>
      </c>
      <c r="F207" s="378">
        <f>('Pivot Table for Data Exchange'!$H$411)*100</f>
        <v>0</v>
      </c>
      <c r="G207" s="386">
        <f>('Pivot Table for Data Exchange'!$H$414)*100</f>
        <v>0</v>
      </c>
      <c r="H207" s="378">
        <f>('Pivot Table for Data Exchange'!$H$417)*100</f>
        <v>0</v>
      </c>
      <c r="I207" s="384" t="s">
        <v>896</v>
      </c>
      <c r="J207" s="378">
        <f>('Pivot Table for Data Exchange'!$H$420)*100</f>
        <v>29.492213947190248</v>
      </c>
      <c r="K207" s="378">
        <f>('Pivot Table for Data Exchange'!$H$423)*100</f>
        <v>0</v>
      </c>
      <c r="L207" s="379">
        <f>SUM(M207:O207)</f>
        <v>70.507786052809749</v>
      </c>
      <c r="M207" s="378">
        <f>('Pivot Table for Data Exchange'!$H$426)*100</f>
        <v>70.507786052809749</v>
      </c>
      <c r="N207" s="378">
        <f>('Pivot Table for Data Exchange'!$H$429)*100</f>
        <v>0</v>
      </c>
      <c r="O207" s="386">
        <f>('Pivot Table for Data Exchange'!$H$432)*100</f>
        <v>0</v>
      </c>
      <c r="P207" s="378">
        <f>('Pivot Table for Data Exchange'!$H$435)*100</f>
        <v>0</v>
      </c>
      <c r="Q207" s="383">
        <f t="shared" si="52"/>
        <v>100.00000000000001</v>
      </c>
      <c r="R207" s="383">
        <f t="shared" si="53"/>
        <v>100</v>
      </c>
      <c r="S207" s="384"/>
      <c r="T207" s="384"/>
      <c r="U207" s="384"/>
      <c r="V207" s="384"/>
      <c r="W207" s="384"/>
      <c r="X207" s="384"/>
      <c r="Y207" s="384"/>
      <c r="Z207" s="384"/>
      <c r="AA207" s="384"/>
      <c r="AB207" s="384"/>
      <c r="AC207" s="384"/>
      <c r="AD207" s="384"/>
      <c r="AE207" s="384"/>
      <c r="AF207" s="384"/>
      <c r="AG207" s="384"/>
      <c r="AH207" s="384"/>
      <c r="AI207" s="384"/>
      <c r="AJ207" s="384"/>
      <c r="AK207" s="384"/>
      <c r="AL207" s="384"/>
      <c r="AM207" s="384"/>
      <c r="AN207" s="384"/>
      <c r="AO207" s="384"/>
    </row>
    <row r="208" spans="1:41" ht="11.25" customHeight="1">
      <c r="B208" s="378"/>
      <c r="C208" s="378"/>
      <c r="D208" s="379"/>
      <c r="E208" s="378"/>
      <c r="F208" s="378"/>
      <c r="G208" s="386"/>
      <c r="H208" s="378"/>
      <c r="I208" s="384"/>
      <c r="J208" s="378"/>
      <c r="K208" s="378"/>
      <c r="L208" s="379"/>
      <c r="M208" s="378"/>
      <c r="N208" s="378"/>
      <c r="O208" s="386"/>
      <c r="P208" s="378"/>
      <c r="Q208" s="383">
        <f t="shared" si="52"/>
        <v>0</v>
      </c>
      <c r="R208" s="383">
        <f t="shared" si="53"/>
        <v>0</v>
      </c>
      <c r="S208" s="384"/>
      <c r="T208" s="384"/>
      <c r="U208" s="384"/>
      <c r="V208" s="384"/>
      <c r="W208" s="384"/>
      <c r="X208" s="384"/>
      <c r="Y208" s="384"/>
      <c r="Z208" s="384"/>
      <c r="AA208" s="384"/>
      <c r="AB208" s="384"/>
      <c r="AC208" s="384"/>
      <c r="AD208" s="384"/>
      <c r="AE208" s="384"/>
      <c r="AF208" s="384"/>
      <c r="AG208" s="384"/>
      <c r="AH208" s="384"/>
      <c r="AI208" s="384"/>
      <c r="AJ208" s="384"/>
      <c r="AK208" s="384"/>
      <c r="AL208" s="384"/>
      <c r="AM208" s="384"/>
      <c r="AN208" s="384"/>
      <c r="AO208" s="384"/>
    </row>
    <row r="209" spans="1:41" ht="15.75" customHeight="1">
      <c r="A209" s="349" t="s">
        <v>897</v>
      </c>
      <c r="B209" s="378">
        <f>('Pivot Table for Data Exchange'!$H$438)*100</f>
        <v>0</v>
      </c>
      <c r="C209" s="378">
        <f>('Pivot Table for Data Exchange'!$H$441)*100</f>
        <v>0</v>
      </c>
      <c r="D209" s="379">
        <f>SUM(E209:G209)</f>
        <v>0</v>
      </c>
      <c r="E209" s="378">
        <f>('Pivot Table for Data Exchange'!$H$444)*100</f>
        <v>0</v>
      </c>
      <c r="F209" s="378">
        <f>('Pivot Table for Data Exchange'!$H$447)*100</f>
        <v>0</v>
      </c>
      <c r="G209" s="386">
        <f>('Pivot Table for Data Exchange'!$H$450)*100</f>
        <v>0</v>
      </c>
      <c r="H209" s="378">
        <f>('Pivot Table for Data Exchange'!$H$453)*100</f>
        <v>0</v>
      </c>
      <c r="I209" s="384" t="s">
        <v>897</v>
      </c>
      <c r="J209" s="378">
        <f>('Pivot Table for Data Exchange'!$H$456)*100</f>
        <v>0</v>
      </c>
      <c r="K209" s="378">
        <f>('Pivot Table for Data Exchange'!$H$459)*100</f>
        <v>0</v>
      </c>
      <c r="L209" s="379">
        <f>SUM(M209:O209)</f>
        <v>0</v>
      </c>
      <c r="M209" s="378">
        <f>('Pivot Table for Data Exchange'!$H$462)*100</f>
        <v>0</v>
      </c>
      <c r="N209" s="378">
        <f>('Pivot Table for Data Exchange'!$H$465)*100</f>
        <v>0</v>
      </c>
      <c r="O209" s="386">
        <f>('Pivot Table for Data Exchange'!$H$468)*100</f>
        <v>0</v>
      </c>
      <c r="P209" s="378">
        <f>('Pivot Table for Data Exchange'!$H$471)*100</f>
        <v>0</v>
      </c>
      <c r="Q209" s="383">
        <f t="shared" si="52"/>
        <v>0</v>
      </c>
      <c r="R209" s="383">
        <f t="shared" si="53"/>
        <v>0</v>
      </c>
      <c r="S209" s="384"/>
      <c r="T209" s="384"/>
      <c r="U209" s="384"/>
      <c r="V209" s="384"/>
      <c r="W209" s="384"/>
      <c r="X209" s="384"/>
      <c r="Y209" s="384"/>
      <c r="Z209" s="384"/>
      <c r="AA209" s="384"/>
      <c r="AB209" s="384"/>
      <c r="AC209" s="384"/>
      <c r="AD209" s="384"/>
      <c r="AE209" s="384"/>
      <c r="AF209" s="384"/>
      <c r="AG209" s="384"/>
      <c r="AH209" s="384"/>
      <c r="AI209" s="384"/>
      <c r="AJ209" s="384"/>
      <c r="AK209" s="384"/>
      <c r="AL209" s="384"/>
      <c r="AM209" s="384"/>
      <c r="AN209" s="384"/>
      <c r="AO209" s="384"/>
    </row>
    <row r="210" spans="1:41" ht="15.75" customHeight="1">
      <c r="A210" s="349" t="s">
        <v>898</v>
      </c>
      <c r="B210" s="378">
        <f>('Pivot Table for Data Exchange'!$H$474)*100</f>
        <v>0</v>
      </c>
      <c r="C210" s="378">
        <f>('Pivot Table for Data Exchange'!$H$477)*100</f>
        <v>0</v>
      </c>
      <c r="D210" s="379">
        <f>SUM(E210:G210)</f>
        <v>0</v>
      </c>
      <c r="E210" s="378">
        <f>('Pivot Table for Data Exchange'!$H$480)*100</f>
        <v>0</v>
      </c>
      <c r="F210" s="378">
        <f>('Pivot Table for Data Exchange'!$H$483)*100</f>
        <v>0</v>
      </c>
      <c r="G210" s="385">
        <f>('Pivot Table for Data Exchange'!$H$486)*100</f>
        <v>0</v>
      </c>
      <c r="H210" s="378">
        <f>('Pivot Table for Data Exchange'!$H$489)*100</f>
        <v>0</v>
      </c>
      <c r="I210" s="384" t="s">
        <v>898</v>
      </c>
      <c r="J210" s="378">
        <f>('Pivot Table for Data Exchange'!$H$492)*100</f>
        <v>0</v>
      </c>
      <c r="K210" s="378">
        <f>('Pivot Table for Data Exchange'!$H$495)*100</f>
        <v>0</v>
      </c>
      <c r="L210" s="379">
        <f>SUM(M210:O210)</f>
        <v>0</v>
      </c>
      <c r="M210" s="378">
        <f>('Pivot Table for Data Exchange'!$H$498)*100</f>
        <v>0</v>
      </c>
      <c r="N210" s="378">
        <f>('Pivot Table for Data Exchange'!$H$501)*100</f>
        <v>0</v>
      </c>
      <c r="O210" s="386">
        <f>('Pivot Table for Data Exchange'!$H$504)*100</f>
        <v>0</v>
      </c>
      <c r="P210" s="378">
        <f>('Pivot Table for Data Exchange'!$H$507)*100</f>
        <v>0</v>
      </c>
      <c r="Q210" s="383">
        <f t="shared" si="52"/>
        <v>0</v>
      </c>
      <c r="R210" s="383">
        <f t="shared" si="53"/>
        <v>0</v>
      </c>
      <c r="S210" s="384"/>
      <c r="T210" s="384"/>
      <c r="U210" s="384"/>
      <c r="V210" s="384"/>
      <c r="W210" s="384"/>
      <c r="X210" s="384"/>
      <c r="Y210" s="384"/>
      <c r="Z210" s="384"/>
      <c r="AA210" s="384"/>
      <c r="AB210" s="384"/>
      <c r="AC210" s="384"/>
      <c r="AD210" s="384"/>
      <c r="AE210" s="384"/>
      <c r="AF210" s="384"/>
      <c r="AG210" s="384"/>
      <c r="AH210" s="384"/>
      <c r="AI210" s="384"/>
      <c r="AJ210" s="384"/>
      <c r="AK210" s="384"/>
      <c r="AL210" s="384"/>
      <c r="AM210" s="384"/>
      <c r="AN210" s="384"/>
      <c r="AO210" s="384"/>
    </row>
    <row r="211" spans="1:41" ht="15.75" customHeight="1">
      <c r="A211" s="349" t="s">
        <v>899</v>
      </c>
      <c r="B211" s="378">
        <f>('Pivot Table for Data Exchange'!$H$510)*100</f>
        <v>80.31345949308664</v>
      </c>
      <c r="C211" s="378">
        <f>('Pivot Table for Data Exchange'!$H$513)*100</f>
        <v>0</v>
      </c>
      <c r="D211" s="379">
        <f t="shared" ref="D211" si="56">SUM(E211:G211)</f>
        <v>19.686540506913367</v>
      </c>
      <c r="E211" s="378">
        <f>('Pivot Table for Data Exchange'!$H$516)*100</f>
        <v>19.686540506913367</v>
      </c>
      <c r="F211" s="378">
        <f>('Pivot Table for Data Exchange'!$H$519)*100</f>
        <v>0</v>
      </c>
      <c r="G211" s="386">
        <f>('Pivot Table for Data Exchange'!$H$522)*100</f>
        <v>0</v>
      </c>
      <c r="H211" s="378">
        <f>('Pivot Table for Data Exchange'!$H$525)*100</f>
        <v>0</v>
      </c>
      <c r="I211" s="384" t="s">
        <v>899</v>
      </c>
      <c r="J211" s="378">
        <f>('Pivot Table for Data Exchange'!$H$528)*100</f>
        <v>0</v>
      </c>
      <c r="K211" s="378">
        <f>('Pivot Table for Data Exchange'!$H$531)*100</f>
        <v>0</v>
      </c>
      <c r="L211" s="379">
        <f t="shared" ref="L211" si="57">SUM(M211:O211)</f>
        <v>0</v>
      </c>
      <c r="M211" s="378">
        <f>('Pivot Table for Data Exchange'!$H$534)*100</f>
        <v>0</v>
      </c>
      <c r="N211" s="378">
        <f>('Pivot Table for Data Exchange'!$H$537)*100</f>
        <v>0</v>
      </c>
      <c r="O211" s="386">
        <f>('Pivot Table for Data Exchange'!$H$540)*100</f>
        <v>0</v>
      </c>
      <c r="P211" s="378">
        <f>('Pivot Table for Data Exchange'!$H$543)*100</f>
        <v>0</v>
      </c>
      <c r="Q211" s="383">
        <f t="shared" si="52"/>
        <v>100</v>
      </c>
      <c r="R211" s="383">
        <f t="shared" si="53"/>
        <v>0</v>
      </c>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4"/>
      <c r="AO211" s="384"/>
    </row>
    <row r="212" spans="1:41" ht="15.75" customHeight="1">
      <c r="A212" s="355" t="s">
        <v>900</v>
      </c>
      <c r="B212" s="391">
        <f>('Pivot Table for Data Exchange'!$H$546)*100</f>
        <v>67.668255259793099</v>
      </c>
      <c r="C212" s="391">
        <f>('Pivot Table for Data Exchange'!$H$549)*100</f>
        <v>8.1087992560734623</v>
      </c>
      <c r="D212" s="392">
        <f>SUM(E212:G212)</f>
        <v>24.22294548413344</v>
      </c>
      <c r="E212" s="391">
        <f>('Pivot Table for Data Exchange'!$H$552)*100</f>
        <v>22.517145181913286</v>
      </c>
      <c r="F212" s="391">
        <f>('Pivot Table for Data Exchange'!$H$555)*100</f>
        <v>1.7058003022201558</v>
      </c>
      <c r="G212" s="414">
        <f>('Pivot Table for Data Exchange'!$H$558)*100</f>
        <v>0</v>
      </c>
      <c r="H212" s="391">
        <f>('Pivot Table for Data Exchange'!$H$561)*100</f>
        <v>0</v>
      </c>
      <c r="I212" s="394" t="s">
        <v>900</v>
      </c>
      <c r="J212" s="391">
        <f>('Pivot Table for Data Exchange'!$H$564)*100</f>
        <v>66.798418972332016</v>
      </c>
      <c r="K212" s="391">
        <f>('Pivot Table for Data Exchange'!$H$567)*100</f>
        <v>8.537549407114625</v>
      </c>
      <c r="L212" s="392">
        <f>SUM(M212:O212)</f>
        <v>24.664031620553359</v>
      </c>
      <c r="M212" s="391">
        <f>('Pivot Table for Data Exchange'!$H$570)*100</f>
        <v>24.664031620553359</v>
      </c>
      <c r="N212" s="391">
        <f>('Pivot Table for Data Exchange'!$H$573)*100</f>
        <v>0</v>
      </c>
      <c r="O212" s="393">
        <f>('Pivot Table for Data Exchange'!$H$576)*100</f>
        <v>0</v>
      </c>
      <c r="P212" s="391">
        <f>('Pivot Table for Data Exchange'!$H$579)*100</f>
        <v>0</v>
      </c>
      <c r="Q212" s="383">
        <f t="shared" si="52"/>
        <v>100</v>
      </c>
      <c r="R212" s="383">
        <f t="shared" si="53"/>
        <v>100</v>
      </c>
      <c r="S212" s="384"/>
      <c r="T212" s="384"/>
      <c r="U212" s="384"/>
      <c r="V212" s="384"/>
      <c r="W212" s="384"/>
      <c r="X212" s="384"/>
      <c r="Y212" s="384"/>
      <c r="Z212" s="384"/>
      <c r="AA212" s="384"/>
      <c r="AB212" s="384"/>
      <c r="AC212" s="384"/>
      <c r="AD212" s="384"/>
      <c r="AE212" s="384"/>
      <c r="AF212" s="384"/>
      <c r="AG212" s="384"/>
      <c r="AH212" s="384"/>
      <c r="AI212" s="384"/>
      <c r="AJ212" s="384"/>
      <c r="AK212" s="384"/>
      <c r="AL212" s="384"/>
      <c r="AM212" s="384"/>
      <c r="AN212" s="384"/>
      <c r="AO212" s="384"/>
    </row>
    <row r="213" spans="1:41" s="396" customFormat="1" ht="12" customHeight="1">
      <c r="A213" s="397" t="s">
        <v>926</v>
      </c>
      <c r="B213" s="398"/>
      <c r="C213" s="398"/>
      <c r="D213" s="399"/>
      <c r="E213" s="398"/>
      <c r="F213" s="399"/>
      <c r="G213" s="399"/>
      <c r="H213" s="398"/>
      <c r="I213" s="397" t="s">
        <v>926</v>
      </c>
      <c r="J213" s="398"/>
      <c r="K213" s="398"/>
      <c r="L213" s="399"/>
      <c r="M213" s="398"/>
      <c r="N213" s="399"/>
      <c r="O213" s="399"/>
      <c r="P213" s="398"/>
      <c r="Q213" s="383">
        <f t="shared" si="52"/>
        <v>0</v>
      </c>
      <c r="R213" s="383">
        <f t="shared" si="53"/>
        <v>0</v>
      </c>
      <c r="S213" s="400"/>
      <c r="T213" s="400"/>
      <c r="U213" s="400"/>
      <c r="V213" s="400"/>
      <c r="W213" s="400"/>
      <c r="X213" s="400"/>
      <c r="Y213" s="400"/>
      <c r="Z213" s="400"/>
      <c r="AA213" s="400"/>
      <c r="AB213" s="400"/>
      <c r="AC213" s="400"/>
      <c r="AD213" s="400"/>
      <c r="AE213" s="400"/>
      <c r="AF213" s="400"/>
      <c r="AG213" s="400"/>
      <c r="AH213" s="400"/>
      <c r="AI213" s="400"/>
      <c r="AJ213" s="400"/>
      <c r="AK213" s="400"/>
      <c r="AL213" s="400"/>
      <c r="AM213" s="400"/>
      <c r="AN213" s="400"/>
      <c r="AO213" s="400"/>
    </row>
    <row r="214" spans="1:41" s="396" customFormat="1" ht="22.5" customHeight="1">
      <c r="A214" s="501" t="s">
        <v>932</v>
      </c>
      <c r="B214" s="518"/>
      <c r="C214" s="518"/>
      <c r="D214" s="518"/>
      <c r="E214" s="518"/>
      <c r="F214" s="518"/>
      <c r="G214" s="518"/>
      <c r="H214" s="518"/>
      <c r="I214" s="501"/>
      <c r="J214" s="518"/>
      <c r="K214" s="518"/>
      <c r="L214" s="518"/>
      <c r="M214" s="518"/>
      <c r="N214" s="518"/>
      <c r="O214" s="518"/>
      <c r="P214" s="518"/>
      <c r="Q214" s="383">
        <f t="shared" si="52"/>
        <v>0</v>
      </c>
      <c r="R214" s="383">
        <f t="shared" si="53"/>
        <v>0</v>
      </c>
    </row>
    <row r="215" spans="1:41" s="396" customFormat="1" ht="10.5" customHeight="1">
      <c r="A215" s="401"/>
      <c r="B215" s="410"/>
      <c r="C215" s="410"/>
      <c r="D215" s="351"/>
      <c r="E215" s="410"/>
      <c r="F215" s="410"/>
      <c r="G215" s="410"/>
      <c r="H215" s="410"/>
      <c r="I215" s="401"/>
      <c r="J215" s="410"/>
      <c r="K215" s="410"/>
      <c r="L215" s="351"/>
      <c r="M215" s="410"/>
      <c r="N215" s="410"/>
      <c r="O215" s="410"/>
      <c r="P215" s="410"/>
      <c r="Q215" s="383"/>
      <c r="R215" s="383"/>
    </row>
    <row r="216" spans="1:41" s="396" customFormat="1">
      <c r="H216" s="402" t="s">
        <v>1007</v>
      </c>
      <c r="P216" s="402" t="s">
        <v>1007</v>
      </c>
      <c r="Q216" s="383">
        <f t="shared" si="52"/>
        <v>0</v>
      </c>
      <c r="R216" s="383">
        <f t="shared" si="53"/>
        <v>0</v>
      </c>
    </row>
    <row r="217" spans="1:41" ht="18">
      <c r="A217" s="344" t="s">
        <v>939</v>
      </c>
      <c r="B217" s="345"/>
      <c r="C217" s="345"/>
      <c r="D217" s="345"/>
      <c r="E217" s="345"/>
      <c r="F217" s="345"/>
      <c r="G217" s="345"/>
      <c r="H217" s="345"/>
      <c r="I217" s="349"/>
      <c r="Q217" s="383">
        <f t="shared" si="52"/>
        <v>0</v>
      </c>
    </row>
    <row r="218" spans="1:41">
      <c r="A218" s="350"/>
      <c r="B218" s="346"/>
      <c r="C218" s="346"/>
      <c r="D218" s="346"/>
      <c r="E218" s="346"/>
      <c r="F218" s="346"/>
      <c r="G218" s="346"/>
      <c r="H218" s="346"/>
      <c r="I218" s="349"/>
      <c r="Q218" s="383">
        <f t="shared" si="52"/>
        <v>0</v>
      </c>
    </row>
    <row r="219" spans="1:41" ht="15.75">
      <c r="A219" s="352" t="s">
        <v>906</v>
      </c>
      <c r="B219" s="346"/>
      <c r="C219" s="346"/>
      <c r="D219" s="346"/>
      <c r="E219" s="346"/>
      <c r="F219" s="346"/>
      <c r="G219" s="346"/>
      <c r="H219" s="346"/>
      <c r="L219" s="346"/>
      <c r="Q219" s="383">
        <f t="shared" si="52"/>
        <v>0</v>
      </c>
    </row>
    <row r="220" spans="1:41" ht="15.75">
      <c r="A220" s="352" t="s">
        <v>957</v>
      </c>
      <c r="B220" s="346"/>
      <c r="C220" s="346"/>
      <c r="D220" s="346"/>
      <c r="E220" s="346"/>
      <c r="F220" s="346"/>
      <c r="G220" s="346"/>
      <c r="H220" s="346"/>
      <c r="Q220" s="383">
        <f t="shared" si="52"/>
        <v>0</v>
      </c>
    </row>
    <row r="221" spans="1:41">
      <c r="A221" s="355"/>
      <c r="B221" s="356"/>
      <c r="C221" s="356"/>
      <c r="D221" s="356"/>
      <c r="E221" s="356"/>
      <c r="F221" s="356"/>
      <c r="G221" s="356"/>
      <c r="H221" s="356"/>
      <c r="Q221" s="383">
        <f t="shared" si="52"/>
        <v>0</v>
      </c>
    </row>
    <row r="222" spans="1:41">
      <c r="A222" s="360"/>
      <c r="B222" s="361" t="s">
        <v>908</v>
      </c>
      <c r="C222" s="361"/>
      <c r="D222" s="361"/>
      <c r="E222" s="361"/>
      <c r="F222" s="361"/>
      <c r="G222" s="361"/>
      <c r="H222" s="362"/>
      <c r="Q222" s="383">
        <f t="shared" si="52"/>
        <v>0</v>
      </c>
    </row>
    <row r="223" spans="1:41">
      <c r="A223" s="360"/>
      <c r="B223" s="361" t="s">
        <v>909</v>
      </c>
      <c r="C223" s="361"/>
      <c r="D223" s="506" t="s">
        <v>910</v>
      </c>
      <c r="E223" s="504"/>
      <c r="F223" s="504"/>
      <c r="G223" s="504"/>
      <c r="H223" s="368" t="s">
        <v>800</v>
      </c>
      <c r="Q223" s="383">
        <f t="shared" si="52"/>
        <v>0</v>
      </c>
    </row>
    <row r="224" spans="1:41" ht="36">
      <c r="A224" s="360"/>
      <c r="B224" s="369" t="s">
        <v>911</v>
      </c>
      <c r="C224" s="370" t="s">
        <v>912</v>
      </c>
      <c r="D224" s="371" t="s">
        <v>913</v>
      </c>
      <c r="E224" s="372" t="s">
        <v>10</v>
      </c>
      <c r="F224" s="369" t="s">
        <v>914</v>
      </c>
      <c r="G224" s="373" t="s">
        <v>924</v>
      </c>
      <c r="H224" s="374" t="s">
        <v>916</v>
      </c>
      <c r="I224" s="403"/>
      <c r="J224" s="365"/>
      <c r="K224" s="365"/>
      <c r="L224" s="365"/>
      <c r="M224" s="365"/>
      <c r="N224" s="365"/>
      <c r="O224" s="365"/>
      <c r="Q224" s="383">
        <f t="shared" si="52"/>
        <v>0</v>
      </c>
    </row>
    <row r="225" spans="1:41" ht="15.75" customHeight="1">
      <c r="A225" s="404" t="s">
        <v>885</v>
      </c>
      <c r="B225" s="378">
        <f>('Pivot Table for Data Exchange'!$O$6)*100</f>
        <v>63.053858675575256</v>
      </c>
      <c r="C225" s="378">
        <f>('Pivot Table for Data Exchange'!$O$9)*100</f>
        <v>12.701829432967706</v>
      </c>
      <c r="D225" s="379">
        <f>SUM(E225:G225)</f>
        <v>24.244311891457031</v>
      </c>
      <c r="E225" s="378">
        <f>('Pivot Table for Data Exchange'!$O$12)*100</f>
        <v>23.716567784827941</v>
      </c>
      <c r="F225" s="378">
        <f>('Pivot Table for Data Exchange'!$O$15)*100</f>
        <v>0.39076930279881944</v>
      </c>
      <c r="G225" s="382">
        <f>('Pivot Table for Data Exchange'!$O$18)*100</f>
        <v>0.13697480383027</v>
      </c>
      <c r="H225" s="405">
        <f>('Pivot Table for Data Exchange'!$O$21)*100</f>
        <v>0</v>
      </c>
      <c r="I225" s="416"/>
      <c r="J225" s="416"/>
      <c r="K225" s="416"/>
      <c r="L225" s="416"/>
      <c r="M225" s="416"/>
      <c r="N225" s="416"/>
      <c r="O225" s="416"/>
      <c r="P225" s="417"/>
      <c r="Q225" s="383">
        <f t="shared" si="52"/>
        <v>99.999999999999986</v>
      </c>
      <c r="R225" s="383"/>
      <c r="Z225" s="384"/>
      <c r="AA225" s="384"/>
      <c r="AB225" s="384"/>
      <c r="AC225" s="384"/>
      <c r="AD225" s="384"/>
      <c r="AE225" s="384"/>
      <c r="AF225" s="384"/>
      <c r="AG225" s="384"/>
      <c r="AH225" s="384"/>
      <c r="AI225" s="384"/>
      <c r="AJ225" s="384"/>
      <c r="AK225" s="384"/>
      <c r="AL225" s="384"/>
      <c r="AM225" s="384"/>
      <c r="AN225" s="384"/>
      <c r="AO225" s="384"/>
    </row>
    <row r="226" spans="1:41" ht="15.75" customHeight="1">
      <c r="A226" s="349" t="s">
        <v>886</v>
      </c>
      <c r="B226" s="378">
        <f>('Pivot Table for Data Exchange'!$O$42)*100</f>
        <v>62.341959734515505</v>
      </c>
      <c r="C226" s="378">
        <f>('Pivot Table for Data Exchange'!$O$45)*100</f>
        <v>10.70914955391962</v>
      </c>
      <c r="D226" s="379">
        <f t="shared" ref="D226:D228" si="58">SUM(E226:G226)</f>
        <v>26.948890711564882</v>
      </c>
      <c r="E226" s="378">
        <f>('Pivot Table for Data Exchange'!$O$48)*100</f>
        <v>25.921773653833576</v>
      </c>
      <c r="F226" s="378">
        <f>('Pivot Table for Data Exchange'!$O$51)*100</f>
        <v>1.0271170577313051</v>
      </c>
      <c r="G226" s="389">
        <f>('Pivot Table for Data Exchange'!$O$54)*100</f>
        <v>0</v>
      </c>
      <c r="H226" s="387">
        <f>('Pivot Table for Data Exchange'!$O$57)*100</f>
        <v>0</v>
      </c>
      <c r="I226" s="416"/>
      <c r="J226" s="416"/>
      <c r="K226" s="416"/>
      <c r="L226" s="416"/>
      <c r="M226" s="416"/>
      <c r="N226" s="416"/>
      <c r="O226" s="416"/>
      <c r="P226" s="417"/>
      <c r="Q226" s="383">
        <f t="shared" si="52"/>
        <v>100.00000000000001</v>
      </c>
      <c r="R226" s="383"/>
      <c r="Z226" s="384"/>
      <c r="AA226" s="384"/>
      <c r="AB226" s="384"/>
      <c r="AC226" s="384"/>
      <c r="AD226" s="384"/>
      <c r="AE226" s="384"/>
      <c r="AF226" s="384"/>
      <c r="AG226" s="384"/>
      <c r="AH226" s="384"/>
      <c r="AI226" s="384"/>
      <c r="AJ226" s="384"/>
      <c r="AK226" s="384"/>
      <c r="AL226" s="384"/>
      <c r="AM226" s="384"/>
      <c r="AN226" s="384"/>
      <c r="AO226" s="384"/>
    </row>
    <row r="227" spans="1:41" ht="15.75" customHeight="1">
      <c r="A227" s="349" t="s">
        <v>887</v>
      </c>
      <c r="B227" s="378">
        <f>('Pivot Table for Data Exchange'!$O$78)*100</f>
        <v>86.055778335633576</v>
      </c>
      <c r="C227" s="378">
        <f>('Pivot Table for Data Exchange'!$O$81)*100</f>
        <v>0</v>
      </c>
      <c r="D227" s="379">
        <f t="shared" si="58"/>
        <v>13.944221664366417</v>
      </c>
      <c r="E227" s="378">
        <f>('Pivot Table for Data Exchange'!$O$84)*100</f>
        <v>13.51061556127901</v>
      </c>
      <c r="F227" s="378">
        <f>('Pivot Table for Data Exchange'!$O$87)*100</f>
        <v>0.35101446440409045</v>
      </c>
      <c r="G227" s="386">
        <f>('Pivot Table for Data Exchange'!$O$90)*100</f>
        <v>8.2591638683315399E-2</v>
      </c>
      <c r="H227" s="378">
        <f>('Pivot Table for Data Exchange'!$O$93)*100</f>
        <v>0</v>
      </c>
      <c r="I227" s="416"/>
      <c r="J227" s="416"/>
      <c r="K227" s="416"/>
      <c r="L227" s="416"/>
      <c r="M227" s="416"/>
      <c r="N227" s="416"/>
      <c r="O227" s="416"/>
      <c r="P227" s="417"/>
      <c r="Q227" s="383">
        <f t="shared" si="52"/>
        <v>100</v>
      </c>
      <c r="R227" s="383"/>
      <c r="Z227" s="384"/>
      <c r="AA227" s="384"/>
      <c r="AB227" s="384"/>
      <c r="AC227" s="384"/>
      <c r="AD227" s="384"/>
      <c r="AE227" s="384"/>
      <c r="AF227" s="384"/>
      <c r="AG227" s="384"/>
      <c r="AH227" s="384"/>
      <c r="AI227" s="384"/>
      <c r="AJ227" s="384"/>
      <c r="AK227" s="384"/>
      <c r="AL227" s="384"/>
      <c r="AM227" s="384"/>
      <c r="AN227" s="384"/>
      <c r="AO227" s="384"/>
    </row>
    <row r="228" spans="1:41" ht="15.75" customHeight="1">
      <c r="A228" s="349" t="s">
        <v>925</v>
      </c>
      <c r="B228" s="378">
        <f>('Pivot Table for Data Exchange'!$O$114)*100</f>
        <v>71.904255771438287</v>
      </c>
      <c r="C228" s="378">
        <f>('Pivot Table for Data Exchange'!$O$117)*100</f>
        <v>3.385365396334318</v>
      </c>
      <c r="D228" s="379">
        <f t="shared" si="58"/>
        <v>24.682373307431764</v>
      </c>
      <c r="E228" s="378">
        <f>('Pivot Table for Data Exchange'!$O$120)*100</f>
        <v>24.599087122364192</v>
      </c>
      <c r="F228" s="378">
        <f>('Pivot Table for Data Exchange'!$O$123)*100</f>
        <v>5.7013972238665065E-3</v>
      </c>
      <c r="G228" s="386">
        <f>('Pivot Table for Data Exchange'!$O$126)*100</f>
        <v>7.7584787843705413E-2</v>
      </c>
      <c r="H228" s="390">
        <f>('Pivot Table for Data Exchange'!$O$129)*100</f>
        <v>2.8005524795627255E-2</v>
      </c>
      <c r="I228" s="416"/>
      <c r="J228" s="416"/>
      <c r="K228" s="416"/>
      <c r="L228" s="416"/>
      <c r="M228" s="416"/>
      <c r="N228" s="416"/>
      <c r="O228" s="416"/>
      <c r="P228" s="417"/>
      <c r="Q228" s="383">
        <f t="shared" si="52"/>
        <v>100</v>
      </c>
      <c r="R228" s="383"/>
      <c r="Z228" s="384"/>
      <c r="AA228" s="384"/>
      <c r="AB228" s="384"/>
      <c r="AC228" s="384"/>
      <c r="AD228" s="384"/>
      <c r="AE228" s="384"/>
      <c r="AF228" s="384"/>
      <c r="AG228" s="384"/>
      <c r="AH228" s="384"/>
      <c r="AI228" s="384"/>
      <c r="AJ228" s="384"/>
      <c r="AK228" s="384"/>
      <c r="AL228" s="384"/>
      <c r="AM228" s="384"/>
      <c r="AN228" s="384"/>
      <c r="AO228" s="384"/>
    </row>
    <row r="229" spans="1:41" ht="15.75" customHeight="1">
      <c r="B229" s="378"/>
      <c r="C229" s="378"/>
      <c r="D229" s="379"/>
      <c r="E229" s="378"/>
      <c r="F229" s="378"/>
      <c r="G229" s="386"/>
      <c r="H229" s="378"/>
      <c r="I229" s="416"/>
      <c r="J229" s="416"/>
      <c r="K229" s="416"/>
      <c r="L229" s="416"/>
      <c r="M229" s="416"/>
      <c r="N229" s="416"/>
      <c r="O229" s="416"/>
      <c r="P229" s="417"/>
      <c r="Q229" s="383">
        <f t="shared" si="52"/>
        <v>0</v>
      </c>
      <c r="R229" s="383"/>
      <c r="Z229" s="384"/>
      <c r="AA229" s="384"/>
      <c r="AB229" s="384"/>
      <c r="AC229" s="384"/>
      <c r="AD229" s="384"/>
      <c r="AE229" s="384"/>
      <c r="AF229" s="384"/>
      <c r="AG229" s="384"/>
      <c r="AH229" s="384"/>
      <c r="AI229" s="384"/>
      <c r="AJ229" s="384"/>
      <c r="AK229" s="384"/>
      <c r="AL229" s="384"/>
      <c r="AM229" s="384"/>
      <c r="AN229" s="384"/>
      <c r="AO229" s="384"/>
    </row>
    <row r="230" spans="1:41" ht="15.75" customHeight="1">
      <c r="A230" s="349" t="s">
        <v>889</v>
      </c>
      <c r="B230" s="378">
        <f>('Pivot Table for Data Exchange'!$O$150)*100</f>
        <v>63.757173059498641</v>
      </c>
      <c r="C230" s="378">
        <f>('Pivot Table for Data Exchange'!$O$153)*100</f>
        <v>13.609785563273935</v>
      </c>
      <c r="D230" s="379">
        <f t="shared" ref="D230:D233" si="59">SUM(E230:G230)</f>
        <v>22.633041377227425</v>
      </c>
      <c r="E230" s="378">
        <f>('Pivot Table for Data Exchange'!$O$156)*100</f>
        <v>22.544397463002113</v>
      </c>
      <c r="F230" s="378">
        <f>('Pivot Table for Data Exchange'!$O$159)*100</f>
        <v>2.1745696164300814E-2</v>
      </c>
      <c r="G230" s="386">
        <f>('Pivot Table for Data Exchange'!$O$162)*100</f>
        <v>6.6898218061008763E-2</v>
      </c>
      <c r="H230" s="378">
        <f>('Pivot Table for Data Exchange'!$O$165)*100</f>
        <v>0</v>
      </c>
      <c r="I230" s="416"/>
      <c r="J230" s="416"/>
      <c r="K230" s="416"/>
      <c r="L230" s="416"/>
      <c r="M230" s="416"/>
      <c r="N230" s="416"/>
      <c r="O230" s="416"/>
      <c r="P230" s="417"/>
      <c r="Q230" s="383">
        <f t="shared" si="52"/>
        <v>100</v>
      </c>
      <c r="R230" s="383"/>
      <c r="Z230" s="384"/>
      <c r="AA230" s="384"/>
      <c r="AB230" s="384"/>
      <c r="AC230" s="384"/>
      <c r="AD230" s="384"/>
      <c r="AE230" s="384"/>
      <c r="AF230" s="384"/>
      <c r="AG230" s="384"/>
      <c r="AH230" s="384"/>
      <c r="AI230" s="384"/>
      <c r="AJ230" s="384"/>
      <c r="AK230" s="384"/>
      <c r="AL230" s="384"/>
      <c r="AM230" s="384"/>
      <c r="AN230" s="384"/>
      <c r="AO230" s="384"/>
    </row>
    <row r="231" spans="1:41" ht="15.75" customHeight="1">
      <c r="A231" s="349" t="s">
        <v>890</v>
      </c>
      <c r="B231" s="378">
        <f>('Pivot Table for Data Exchange'!$O$186)*100</f>
        <v>52.179507905727561</v>
      </c>
      <c r="C231" s="378">
        <f>('Pivot Table for Data Exchange'!$O$189)*100</f>
        <v>7.5422663762660003</v>
      </c>
      <c r="D231" s="379">
        <f t="shared" si="59"/>
        <v>40.278225718006439</v>
      </c>
      <c r="E231" s="378">
        <f>('Pivot Table for Data Exchange'!$O$192)*100</f>
        <v>40.278225718006439</v>
      </c>
      <c r="F231" s="378">
        <f>('Pivot Table for Data Exchange'!$O$195)*100</f>
        <v>0</v>
      </c>
      <c r="G231" s="386">
        <f>('Pivot Table for Data Exchange'!$O$198)*100</f>
        <v>0</v>
      </c>
      <c r="H231" s="378">
        <f>('Pivot Table for Data Exchange'!$O$201)*100</f>
        <v>0</v>
      </c>
      <c r="I231" s="416"/>
      <c r="J231" s="416"/>
      <c r="K231" s="416"/>
      <c r="L231" s="416"/>
      <c r="M231" s="416"/>
      <c r="N231" s="416"/>
      <c r="O231" s="416"/>
      <c r="P231" s="417"/>
      <c r="Q231" s="383">
        <f t="shared" si="52"/>
        <v>100</v>
      </c>
      <c r="R231" s="383"/>
      <c r="Z231" s="384"/>
      <c r="AA231" s="384"/>
      <c r="AB231" s="384"/>
      <c r="AC231" s="384"/>
      <c r="AD231" s="384"/>
      <c r="AE231" s="384"/>
      <c r="AF231" s="384"/>
      <c r="AG231" s="384"/>
      <c r="AH231" s="384"/>
      <c r="AI231" s="384"/>
      <c r="AJ231" s="384"/>
      <c r="AK231" s="384"/>
      <c r="AL231" s="384"/>
      <c r="AM231" s="384"/>
      <c r="AN231" s="384"/>
      <c r="AO231" s="384"/>
    </row>
    <row r="232" spans="1:41" ht="15.75" customHeight="1">
      <c r="A232" s="349" t="s">
        <v>891</v>
      </c>
      <c r="B232" s="378">
        <f>('Pivot Table for Data Exchange'!$O$222)*100</f>
        <v>84.365469666345135</v>
      </c>
      <c r="C232" s="378">
        <f>('Pivot Table for Data Exchange'!$O$225)*100</f>
        <v>0</v>
      </c>
      <c r="D232" s="379">
        <f t="shared" si="59"/>
        <v>15.634530333654851</v>
      </c>
      <c r="E232" s="378">
        <f>('Pivot Table for Data Exchange'!$O$228)*100</f>
        <v>15.634530333654851</v>
      </c>
      <c r="F232" s="378">
        <f>('Pivot Table for Data Exchange'!$O$231)*100</f>
        <v>0</v>
      </c>
      <c r="G232" s="386">
        <f>('Pivot Table for Data Exchange'!$O$234)*100</f>
        <v>0</v>
      </c>
      <c r="H232" s="378">
        <f>('Pivot Table for Data Exchange'!$O$237)*100</f>
        <v>0</v>
      </c>
      <c r="I232" s="416"/>
      <c r="J232" s="416"/>
      <c r="K232" s="416"/>
      <c r="L232" s="416"/>
      <c r="M232" s="416"/>
      <c r="N232" s="416"/>
      <c r="O232" s="416"/>
      <c r="P232" s="417"/>
      <c r="Q232" s="383">
        <f t="shared" si="52"/>
        <v>99.999999999999986</v>
      </c>
      <c r="R232" s="383"/>
      <c r="Z232" s="384"/>
      <c r="AA232" s="384"/>
      <c r="AB232" s="384"/>
      <c r="AC232" s="384"/>
      <c r="AD232" s="384"/>
      <c r="AE232" s="384"/>
      <c r="AF232" s="384"/>
      <c r="AG232" s="384"/>
      <c r="AH232" s="384"/>
      <c r="AI232" s="384"/>
      <c r="AJ232" s="384"/>
      <c r="AK232" s="384"/>
      <c r="AL232" s="384"/>
      <c r="AM232" s="384"/>
      <c r="AN232" s="384"/>
      <c r="AO232" s="384"/>
    </row>
    <row r="233" spans="1:41" ht="15.75" customHeight="1">
      <c r="A233" s="349" t="s">
        <v>892</v>
      </c>
      <c r="B233" s="378">
        <f>('Pivot Table for Data Exchange'!$O$258)*100</f>
        <v>68.958576659224434</v>
      </c>
      <c r="C233" s="378">
        <f>('Pivot Table for Data Exchange'!$O$261)*100</f>
        <v>12.652257949538132</v>
      </c>
      <c r="D233" s="379">
        <f t="shared" si="59"/>
        <v>18.387291447243122</v>
      </c>
      <c r="E233" s="378">
        <f>('Pivot Table for Data Exchange'!$O$264)*100</f>
        <v>18.198749735161996</v>
      </c>
      <c r="F233" s="378">
        <f>('Pivot Table for Data Exchange'!$O$267)*100</f>
        <v>0.18854171208112572</v>
      </c>
      <c r="G233" s="385">
        <f>('Pivot Table for Data Exchange'!$O$270)*100</f>
        <v>0</v>
      </c>
      <c r="H233" s="387">
        <f>('Pivot Table for Data Exchange'!$O$273)*100</f>
        <v>1.8739439943154482E-3</v>
      </c>
      <c r="I233" s="416"/>
      <c r="J233" s="416"/>
      <c r="K233" s="416"/>
      <c r="L233" s="416"/>
      <c r="M233" s="416"/>
      <c r="N233" s="416"/>
      <c r="O233" s="416"/>
      <c r="P233" s="417"/>
      <c r="Q233" s="383">
        <f t="shared" si="52"/>
        <v>99.999999999999986</v>
      </c>
      <c r="R233" s="383"/>
      <c r="Z233" s="384"/>
      <c r="AA233" s="384"/>
      <c r="AB233" s="384"/>
      <c r="AC233" s="384"/>
      <c r="AD233" s="384"/>
      <c r="AE233" s="384"/>
      <c r="AF233" s="384"/>
      <c r="AG233" s="384"/>
      <c r="AH233" s="384"/>
      <c r="AI233" s="384"/>
      <c r="AJ233" s="384"/>
      <c r="AK233" s="384"/>
      <c r="AL233" s="384"/>
      <c r="AM233" s="384"/>
      <c r="AN233" s="384"/>
      <c r="AO233" s="384"/>
    </row>
    <row r="234" spans="1:41" ht="15.75" customHeight="1">
      <c r="B234" s="378"/>
      <c r="C234" s="378"/>
      <c r="D234" s="379"/>
      <c r="E234" s="378"/>
      <c r="F234" s="378"/>
      <c r="G234" s="386"/>
      <c r="H234" s="378"/>
      <c r="I234" s="416"/>
      <c r="J234" s="416"/>
      <c r="K234" s="416"/>
      <c r="L234" s="416"/>
      <c r="M234" s="416"/>
      <c r="N234" s="416"/>
      <c r="O234" s="416"/>
      <c r="P234" s="417"/>
      <c r="Q234" s="383">
        <f t="shared" si="52"/>
        <v>0</v>
      </c>
      <c r="R234" s="383"/>
      <c r="Z234" s="384"/>
      <c r="AA234" s="384"/>
      <c r="AB234" s="384"/>
      <c r="AC234" s="384"/>
      <c r="AD234" s="384"/>
      <c r="AE234" s="384"/>
      <c r="AF234" s="384"/>
      <c r="AG234" s="384"/>
      <c r="AH234" s="384"/>
      <c r="AI234" s="384"/>
      <c r="AJ234" s="384"/>
      <c r="AK234" s="384"/>
      <c r="AL234" s="384"/>
      <c r="AM234" s="384"/>
      <c r="AN234" s="384"/>
      <c r="AO234" s="384"/>
    </row>
    <row r="235" spans="1:41" ht="15.75" customHeight="1">
      <c r="A235" s="349" t="s">
        <v>940</v>
      </c>
      <c r="B235" s="378">
        <f>('Pivot Table for Data Exchange'!$O$294)*100</f>
        <v>71.986240472234115</v>
      </c>
      <c r="C235" s="378">
        <f>('Pivot Table for Data Exchange'!$O$297)*100</f>
        <v>2.8844726059953723</v>
      </c>
      <c r="D235" s="379">
        <f t="shared" ref="D235:D237" si="60">SUM(E235:G235)</f>
        <v>25.129286921770511</v>
      </c>
      <c r="E235" s="378">
        <f>('Pivot Table for Data Exchange'!$O$300)*100</f>
        <v>25.129286921770511</v>
      </c>
      <c r="F235" s="378">
        <f>('Pivot Table for Data Exchange'!$O$303)*100</f>
        <v>0</v>
      </c>
      <c r="G235" s="386">
        <f>('Pivot Table for Data Exchange'!$O$306)*100</f>
        <v>0</v>
      </c>
      <c r="H235" s="378">
        <f>('Pivot Table for Data Exchange'!$O$309)*100</f>
        <v>0</v>
      </c>
      <c r="I235" s="416"/>
      <c r="J235" s="416"/>
      <c r="K235" s="416"/>
      <c r="L235" s="416"/>
      <c r="M235" s="416"/>
      <c r="N235" s="416"/>
      <c r="O235" s="416"/>
      <c r="P235" s="417"/>
      <c r="Q235" s="383">
        <f t="shared" si="52"/>
        <v>100</v>
      </c>
      <c r="R235" s="383"/>
      <c r="Z235" s="384"/>
      <c r="AA235" s="384"/>
      <c r="AB235" s="384"/>
      <c r="AC235" s="384"/>
      <c r="AD235" s="384"/>
      <c r="AE235" s="384"/>
      <c r="AF235" s="384"/>
      <c r="AG235" s="384"/>
      <c r="AH235" s="384"/>
      <c r="AI235" s="384"/>
      <c r="AJ235" s="384"/>
      <c r="AK235" s="384"/>
      <c r="AL235" s="384"/>
      <c r="AM235" s="384"/>
      <c r="AN235" s="384"/>
      <c r="AO235" s="384"/>
    </row>
    <row r="236" spans="1:41" ht="15.75" customHeight="1">
      <c r="A236" s="349" t="s">
        <v>894</v>
      </c>
      <c r="B236" s="378">
        <f>('Pivot Table for Data Exchange'!$O$330)*100</f>
        <v>37.645424892610123</v>
      </c>
      <c r="C236" s="378">
        <f>('Pivot Table for Data Exchange'!$O$333)*100</f>
        <v>2.2682233660829096</v>
      </c>
      <c r="D236" s="379">
        <f t="shared" si="60"/>
        <v>60.086351741306963</v>
      </c>
      <c r="E236" s="378">
        <f>('Pivot Table for Data Exchange'!$O$336)*100</f>
        <v>59.458590022001232</v>
      </c>
      <c r="F236" s="378">
        <f>('Pivot Table for Data Exchange'!$O$339)*100</f>
        <v>0.53733612446396062</v>
      </c>
      <c r="G236" s="386">
        <f>('Pivot Table for Data Exchange'!$O$342)*100</f>
        <v>9.0425594841767348E-2</v>
      </c>
      <c r="H236" s="378">
        <f>('Pivot Table for Data Exchange'!$O$345)*100</f>
        <v>0</v>
      </c>
      <c r="I236" s="416"/>
      <c r="J236" s="416"/>
      <c r="K236" s="416"/>
      <c r="L236" s="416"/>
      <c r="M236" s="416"/>
      <c r="N236" s="416"/>
      <c r="O236" s="416"/>
      <c r="P236" s="417"/>
      <c r="Q236" s="383">
        <f t="shared" si="52"/>
        <v>100</v>
      </c>
      <c r="R236" s="383"/>
      <c r="Z236" s="384"/>
      <c r="AA236" s="384"/>
      <c r="AB236" s="384"/>
      <c r="AC236" s="384"/>
      <c r="AD236" s="384"/>
      <c r="AE236" s="384"/>
      <c r="AF236" s="384"/>
      <c r="AG236" s="384"/>
      <c r="AH236" s="384"/>
      <c r="AI236" s="384"/>
      <c r="AJ236" s="384"/>
      <c r="AK236" s="384"/>
      <c r="AL236" s="384"/>
      <c r="AM236" s="384"/>
      <c r="AN236" s="384"/>
      <c r="AO236" s="384"/>
    </row>
    <row r="237" spans="1:41" ht="15.75" customHeight="1">
      <c r="A237" s="349" t="s">
        <v>895</v>
      </c>
      <c r="B237" s="378">
        <f>('Pivot Table for Data Exchange'!$O$366)*100</f>
        <v>67.644247679632201</v>
      </c>
      <c r="C237" s="378">
        <f>('Pivot Table for Data Exchange'!$O$369)*100</f>
        <v>2.8391977398491677</v>
      </c>
      <c r="D237" s="379">
        <f t="shared" si="60"/>
        <v>29.515876716032775</v>
      </c>
      <c r="E237" s="378">
        <f>('Pivot Table for Data Exchange'!$O$372)*100</f>
        <v>27.339253851964941</v>
      </c>
      <c r="F237" s="378">
        <f>('Pivot Table for Data Exchange'!$O$375)*100</f>
        <v>1.9614385489482178</v>
      </c>
      <c r="G237" s="386">
        <f>('Pivot Table for Data Exchange'!$O$378)*100</f>
        <v>0.21518431511961672</v>
      </c>
      <c r="H237" s="390">
        <f>('Pivot Table for Data Exchange'!$O$381)*100</f>
        <v>6.7786448585108519E-4</v>
      </c>
      <c r="I237" s="416"/>
      <c r="J237" s="416"/>
      <c r="K237" s="416"/>
      <c r="L237" s="416"/>
      <c r="M237" s="416"/>
      <c r="N237" s="416"/>
      <c r="O237" s="416"/>
      <c r="P237" s="417"/>
      <c r="Q237" s="383">
        <f t="shared" si="52"/>
        <v>100</v>
      </c>
      <c r="R237" s="383"/>
      <c r="Z237" s="384"/>
      <c r="AA237" s="384"/>
      <c r="AB237" s="384"/>
      <c r="AC237" s="384"/>
      <c r="AD237" s="384"/>
      <c r="AE237" s="384"/>
      <c r="AF237" s="384"/>
      <c r="AG237" s="384"/>
      <c r="AH237" s="384"/>
      <c r="AI237" s="384"/>
      <c r="AJ237" s="384"/>
      <c r="AK237" s="384"/>
      <c r="AL237" s="384"/>
      <c r="AM237" s="384"/>
      <c r="AN237" s="384"/>
      <c r="AO237" s="384"/>
    </row>
    <row r="238" spans="1:41" ht="15.75" customHeight="1">
      <c r="A238" s="349" t="s">
        <v>896</v>
      </c>
      <c r="B238" s="378">
        <f>('Pivot Table for Data Exchange'!$O$402)*100</f>
        <v>63.524728845523384</v>
      </c>
      <c r="C238" s="378">
        <f>('Pivot Table for Data Exchange'!$O$405)*100</f>
        <v>6.7417820876232968</v>
      </c>
      <c r="D238" s="379">
        <f>SUM(E238:G238)</f>
        <v>29.73348906685332</v>
      </c>
      <c r="E238" s="378">
        <f>('Pivot Table for Data Exchange'!$O$408)*100</f>
        <v>28.783697314756346</v>
      </c>
      <c r="F238" s="378">
        <f>('Pivot Table for Data Exchange'!$O$411)*100</f>
        <v>0.80289554715278577</v>
      </c>
      <c r="G238" s="386">
        <f>('Pivot Table for Data Exchange'!$O$414)*100</f>
        <v>0.1468962049441879</v>
      </c>
      <c r="H238" s="378">
        <f>('Pivot Table for Data Exchange'!$O$417)*100</f>
        <v>0</v>
      </c>
      <c r="I238" s="416"/>
      <c r="J238" s="416"/>
      <c r="K238" s="416"/>
      <c r="L238" s="416"/>
      <c r="M238" s="416"/>
      <c r="N238" s="416"/>
      <c r="O238" s="416"/>
      <c r="P238" s="417"/>
      <c r="Q238" s="383">
        <f t="shared" si="52"/>
        <v>100</v>
      </c>
      <c r="R238" s="383"/>
      <c r="Z238" s="384"/>
      <c r="AA238" s="384"/>
      <c r="AB238" s="384"/>
      <c r="AC238" s="384"/>
      <c r="AD238" s="384"/>
      <c r="AE238" s="384"/>
      <c r="AF238" s="384"/>
      <c r="AG238" s="384"/>
      <c r="AH238" s="384"/>
      <c r="AI238" s="384"/>
      <c r="AJ238" s="384"/>
      <c r="AK238" s="384"/>
      <c r="AL238" s="384"/>
      <c r="AM238" s="384"/>
      <c r="AN238" s="384"/>
      <c r="AO238" s="384"/>
    </row>
    <row r="239" spans="1:41" ht="10.5" customHeight="1">
      <c r="B239" s="378"/>
      <c r="C239" s="378"/>
      <c r="D239" s="379"/>
      <c r="E239" s="378"/>
      <c r="F239" s="378"/>
      <c r="G239" s="386"/>
      <c r="H239" s="378"/>
      <c r="I239" s="416"/>
      <c r="J239" s="416"/>
      <c r="K239" s="416"/>
      <c r="L239" s="416"/>
      <c r="M239" s="416"/>
      <c r="N239" s="416"/>
      <c r="O239" s="416"/>
      <c r="P239" s="417"/>
      <c r="Q239" s="383">
        <f t="shared" si="52"/>
        <v>0</v>
      </c>
      <c r="R239" s="383"/>
      <c r="Z239" s="384"/>
      <c r="AA239" s="384"/>
      <c r="AB239" s="384"/>
      <c r="AC239" s="384"/>
      <c r="AD239" s="384"/>
      <c r="AE239" s="384"/>
      <c r="AF239" s="384"/>
      <c r="AG239" s="384"/>
      <c r="AH239" s="384"/>
      <c r="AI239" s="384"/>
      <c r="AJ239" s="384"/>
      <c r="AK239" s="384"/>
      <c r="AL239" s="384"/>
      <c r="AM239" s="384"/>
      <c r="AN239" s="384"/>
      <c r="AO239" s="384"/>
    </row>
    <row r="240" spans="1:41" ht="15.75" customHeight="1">
      <c r="A240" s="349" t="s">
        <v>897</v>
      </c>
      <c r="B240" s="378">
        <f>('Pivot Table for Data Exchange'!$O$438)*100</f>
        <v>46.592172303039021</v>
      </c>
      <c r="C240" s="378">
        <f>('Pivot Table for Data Exchange'!$O$441)*100</f>
        <v>27.880815048175013</v>
      </c>
      <c r="D240" s="379">
        <f>SUM(E240:G240)</f>
        <v>25.402734776488266</v>
      </c>
      <c r="E240" s="378">
        <f>('Pivot Table for Data Exchange'!$O$444)*100</f>
        <v>18.96555103005613</v>
      </c>
      <c r="F240" s="378">
        <f>('Pivot Table for Data Exchange'!$O$447)*100</f>
        <v>1.9669189308484996</v>
      </c>
      <c r="G240" s="386">
        <f>('Pivot Table for Data Exchange'!$O$450)*100</f>
        <v>4.4702648155836373</v>
      </c>
      <c r="H240" s="378">
        <f>('Pivot Table for Data Exchange'!$O$453)*100</f>
        <v>0.1242778722977025</v>
      </c>
      <c r="I240" s="416"/>
      <c r="J240" s="416"/>
      <c r="K240" s="416"/>
      <c r="L240" s="416"/>
      <c r="M240" s="416"/>
      <c r="N240" s="416"/>
      <c r="O240" s="416"/>
      <c r="P240" s="417"/>
      <c r="Q240" s="383">
        <f t="shared" si="52"/>
        <v>99.999999999999986</v>
      </c>
      <c r="R240" s="383"/>
      <c r="Z240" s="384"/>
      <c r="AA240" s="384"/>
      <c r="AB240" s="384"/>
      <c r="AC240" s="384"/>
      <c r="AD240" s="384"/>
      <c r="AE240" s="384"/>
      <c r="AF240" s="384"/>
      <c r="AG240" s="384"/>
      <c r="AH240" s="384"/>
      <c r="AI240" s="384"/>
      <c r="AJ240" s="384"/>
      <c r="AK240" s="384"/>
      <c r="AL240" s="384"/>
      <c r="AM240" s="384"/>
      <c r="AN240" s="384"/>
      <c r="AO240" s="384"/>
    </row>
    <row r="241" spans="1:41" ht="15.75" customHeight="1">
      <c r="A241" s="349" t="s">
        <v>898</v>
      </c>
      <c r="B241" s="378">
        <f>('Pivot Table for Data Exchange'!$O$474)*100</f>
        <v>60.9587395305374</v>
      </c>
      <c r="C241" s="378">
        <f>('Pivot Table for Data Exchange'!$O$477)*100</f>
        <v>12.868249330212539</v>
      </c>
      <c r="D241" s="379">
        <f>SUM(E241:G241)</f>
        <v>26.173011139250061</v>
      </c>
      <c r="E241" s="378">
        <f>('Pivot Table for Data Exchange'!$O$480)*100</f>
        <v>25.502337883812203</v>
      </c>
      <c r="F241" s="378">
        <f>('Pivot Table for Data Exchange'!$O$483)*100</f>
        <v>0.47167672724756343</v>
      </c>
      <c r="G241" s="386">
        <f>('Pivot Table for Data Exchange'!$O$486)*100</f>
        <v>0.19899652819029504</v>
      </c>
      <c r="H241" s="378">
        <f>('Pivot Table for Data Exchange'!$O$489)*100</f>
        <v>0</v>
      </c>
      <c r="I241" s="416"/>
      <c r="J241" s="416"/>
      <c r="K241" s="416"/>
      <c r="L241" s="416"/>
      <c r="M241" s="416"/>
      <c r="N241" s="416"/>
      <c r="O241" s="416"/>
      <c r="P241" s="417"/>
      <c r="Q241" s="383">
        <f t="shared" si="52"/>
        <v>100</v>
      </c>
      <c r="R241" s="383"/>
      <c r="Z241" s="384"/>
      <c r="AA241" s="384"/>
      <c r="AB241" s="384"/>
      <c r="AC241" s="384"/>
      <c r="AD241" s="384"/>
      <c r="AE241" s="384"/>
      <c r="AF241" s="384"/>
      <c r="AG241" s="384"/>
      <c r="AH241" s="384"/>
      <c r="AI241" s="384"/>
      <c r="AJ241" s="384"/>
      <c r="AK241" s="384"/>
      <c r="AL241" s="384"/>
      <c r="AM241" s="384"/>
      <c r="AN241" s="384"/>
      <c r="AO241" s="384"/>
    </row>
    <row r="242" spans="1:41" ht="15.75" customHeight="1">
      <c r="A242" s="349" t="s">
        <v>899</v>
      </c>
      <c r="B242" s="378">
        <f>('Pivot Table for Data Exchange'!$O$510)*100</f>
        <v>57.347941551192186</v>
      </c>
      <c r="C242" s="378">
        <f>('Pivot Table for Data Exchange'!$O$513)*100</f>
        <v>13.190273015984447</v>
      </c>
      <c r="D242" s="379">
        <f t="shared" ref="D242" si="61">SUM(E242:G242)</f>
        <v>29.461785432823373</v>
      </c>
      <c r="E242" s="378">
        <f>('Pivot Table for Data Exchange'!$O$516)*100</f>
        <v>27.357456480432361</v>
      </c>
      <c r="F242" s="378">
        <f>('Pivot Table for Data Exchange'!$O$519)*100</f>
        <v>2.1043289523910098</v>
      </c>
      <c r="G242" s="386">
        <f>('Pivot Table for Data Exchange'!$O$522)*100</f>
        <v>0</v>
      </c>
      <c r="H242" s="378">
        <f>('Pivot Table for Data Exchange'!$O$525)*100</f>
        <v>0</v>
      </c>
      <c r="I242" s="416"/>
      <c r="J242" s="416"/>
      <c r="K242" s="416"/>
      <c r="L242" s="416"/>
      <c r="M242" s="416"/>
      <c r="N242" s="416"/>
      <c r="O242" s="416"/>
      <c r="P242" s="417"/>
      <c r="Q242" s="383">
        <f t="shared" si="52"/>
        <v>100.00000000000001</v>
      </c>
      <c r="R242" s="383"/>
      <c r="Z242" s="384"/>
      <c r="AA242" s="384"/>
      <c r="AB242" s="384"/>
      <c r="AC242" s="384"/>
      <c r="AD242" s="384"/>
      <c r="AE242" s="384"/>
      <c r="AF242" s="384"/>
      <c r="AG242" s="384"/>
      <c r="AH242" s="384"/>
      <c r="AI242" s="384"/>
      <c r="AJ242" s="384"/>
      <c r="AK242" s="384"/>
      <c r="AL242" s="384"/>
      <c r="AM242" s="384"/>
      <c r="AN242" s="384"/>
      <c r="AO242" s="384"/>
    </row>
    <row r="243" spans="1:41" ht="15.75" customHeight="1">
      <c r="A243" s="355" t="s">
        <v>900</v>
      </c>
      <c r="B243" s="391">
        <f>('Pivot Table for Data Exchange'!$O$546)*100</f>
        <v>61.7024541395662</v>
      </c>
      <c r="C243" s="391">
        <f>('Pivot Table for Data Exchange'!$O$549)*100</f>
        <v>12.433795650064843</v>
      </c>
      <c r="D243" s="392">
        <f>SUM(E243:G243)</f>
        <v>25.863750210368963</v>
      </c>
      <c r="E243" s="391">
        <f>('Pivot Table for Data Exchange'!$O$552)*100</f>
        <v>24.07536653698039</v>
      </c>
      <c r="F243" s="391">
        <f>('Pivot Table for Data Exchange'!$O$555)*100</f>
        <v>1.7267579420470631</v>
      </c>
      <c r="G243" s="393">
        <f>('Pivot Table for Data Exchange'!$O$558)*100</f>
        <v>6.1625731341510503E-2</v>
      </c>
      <c r="H243" s="391">
        <f>('Pivot Table for Data Exchange'!$O$561)*100</f>
        <v>0</v>
      </c>
      <c r="I243" s="416"/>
      <c r="J243" s="416"/>
      <c r="K243" s="416"/>
      <c r="L243" s="416"/>
      <c r="M243" s="416"/>
      <c r="N243" s="416"/>
      <c r="O243" s="416"/>
      <c r="P243" s="417"/>
      <c r="Q243" s="383">
        <f t="shared" si="52"/>
        <v>100</v>
      </c>
      <c r="R243" s="383"/>
      <c r="Z243" s="384"/>
      <c r="AA243" s="384"/>
      <c r="AB243" s="384"/>
      <c r="AC243" s="384"/>
      <c r="AD243" s="384"/>
      <c r="AE243" s="384"/>
      <c r="AF243" s="384"/>
      <c r="AG243" s="384"/>
      <c r="AH243" s="384"/>
      <c r="AI243" s="384"/>
      <c r="AJ243" s="384"/>
      <c r="AK243" s="384"/>
      <c r="AL243" s="384"/>
      <c r="AM243" s="384"/>
      <c r="AN243" s="384"/>
      <c r="AO243" s="384"/>
    </row>
    <row r="244" spans="1:41" s="396" customFormat="1" ht="14.25" customHeight="1">
      <c r="A244" s="397" t="s">
        <v>926</v>
      </c>
      <c r="B244" s="398"/>
      <c r="C244" s="398"/>
      <c r="D244" s="399"/>
      <c r="E244" s="398"/>
      <c r="F244" s="399"/>
      <c r="G244" s="399"/>
      <c r="H244" s="398"/>
      <c r="I244" s="407"/>
      <c r="J244" s="398"/>
      <c r="K244" s="398"/>
      <c r="L244" s="399"/>
      <c r="M244" s="398"/>
      <c r="N244" s="399"/>
      <c r="O244" s="399"/>
      <c r="P244" s="398"/>
      <c r="Q244" s="383">
        <f t="shared" si="52"/>
        <v>0</v>
      </c>
      <c r="R244" s="418"/>
      <c r="S244" s="400"/>
      <c r="T244" s="400"/>
      <c r="U244" s="400"/>
      <c r="V244" s="400"/>
      <c r="W244" s="400"/>
      <c r="X244" s="400"/>
      <c r="Y244" s="400"/>
      <c r="Z244" s="400"/>
      <c r="AA244" s="400"/>
      <c r="AB244" s="400"/>
      <c r="AC244" s="400"/>
      <c r="AD244" s="400"/>
      <c r="AE244" s="400"/>
      <c r="AF244" s="400"/>
      <c r="AG244" s="400"/>
      <c r="AH244" s="400"/>
      <c r="AI244" s="400"/>
      <c r="AJ244" s="400"/>
      <c r="AK244" s="400"/>
      <c r="AL244" s="400"/>
      <c r="AM244" s="400"/>
      <c r="AN244" s="400"/>
      <c r="AO244" s="400"/>
    </row>
    <row r="245" spans="1:41" s="396" customFormat="1" ht="24" customHeight="1">
      <c r="A245" s="501" t="s">
        <v>941</v>
      </c>
      <c r="B245" s="518"/>
      <c r="C245" s="518"/>
      <c r="D245" s="518"/>
      <c r="E245" s="518"/>
      <c r="F245" s="518"/>
      <c r="G245" s="518"/>
      <c r="H245" s="518"/>
      <c r="I245" s="407"/>
      <c r="P245" s="409"/>
      <c r="Q245" s="383">
        <f t="shared" si="52"/>
        <v>0</v>
      </c>
      <c r="R245" s="419"/>
    </row>
    <row r="246" spans="1:41" ht="12" customHeight="1">
      <c r="B246" s="420"/>
      <c r="C246" s="420"/>
      <c r="D246" s="421"/>
      <c r="E246" s="420"/>
      <c r="F246" s="421"/>
      <c r="G246" s="421"/>
      <c r="H246" s="420"/>
      <c r="I246" s="349"/>
      <c r="J246" s="420"/>
      <c r="K246" s="420"/>
      <c r="L246" s="421"/>
      <c r="M246" s="420"/>
      <c r="N246" s="421"/>
      <c r="O246" s="421"/>
      <c r="P246" s="420"/>
      <c r="Q246" s="383">
        <f t="shared" si="52"/>
        <v>0</v>
      </c>
      <c r="R246" s="383"/>
      <c r="S246" s="384"/>
      <c r="T246" s="384"/>
      <c r="U246" s="384"/>
      <c r="V246" s="384"/>
      <c r="W246" s="384"/>
      <c r="X246" s="384"/>
      <c r="Y246" s="384"/>
      <c r="Z246" s="384"/>
      <c r="AA246" s="384"/>
      <c r="AB246" s="384"/>
      <c r="AC246" s="384"/>
      <c r="AD246" s="384"/>
      <c r="AE246" s="384"/>
      <c r="AF246" s="384"/>
      <c r="AG246" s="384"/>
      <c r="AH246" s="384"/>
      <c r="AI246" s="384"/>
      <c r="AJ246" s="384"/>
      <c r="AK246" s="384"/>
      <c r="AL246" s="384"/>
      <c r="AM246" s="384"/>
      <c r="AN246" s="384"/>
      <c r="AO246" s="384"/>
    </row>
    <row r="247" spans="1:41" s="396" customFormat="1">
      <c r="H247" s="402" t="s">
        <v>1007</v>
      </c>
      <c r="Q247" s="383">
        <f t="shared" si="52"/>
        <v>0</v>
      </c>
      <c r="R247" s="422"/>
    </row>
    <row r="248" spans="1:41" ht="18">
      <c r="A248" s="344" t="s">
        <v>942</v>
      </c>
      <c r="B248" s="345"/>
      <c r="C248" s="345"/>
      <c r="D248" s="345"/>
      <c r="E248" s="345"/>
      <c r="F248" s="345"/>
      <c r="G248" s="345"/>
      <c r="H248" s="345"/>
      <c r="Q248" s="383">
        <f t="shared" si="52"/>
        <v>0</v>
      </c>
    </row>
    <row r="249" spans="1:41">
      <c r="A249" s="350"/>
      <c r="B249" s="346"/>
      <c r="C249" s="346"/>
      <c r="D249" s="346"/>
      <c r="E249" s="346"/>
      <c r="F249" s="346"/>
      <c r="G249" s="346"/>
      <c r="H249" s="346"/>
      <c r="Q249" s="383">
        <f t="shared" si="52"/>
        <v>0</v>
      </c>
    </row>
    <row r="250" spans="1:41" ht="15.75">
      <c r="A250" s="352" t="s">
        <v>906</v>
      </c>
      <c r="B250" s="346"/>
      <c r="C250" s="346"/>
      <c r="D250" s="346"/>
      <c r="E250" s="346"/>
      <c r="F250" s="346"/>
      <c r="G250" s="346"/>
      <c r="H250" s="346"/>
      <c r="Q250" s="383">
        <f t="shared" si="52"/>
        <v>0</v>
      </c>
    </row>
    <row r="251" spans="1:41" ht="15.75">
      <c r="A251" s="352" t="s">
        <v>958</v>
      </c>
      <c r="B251" s="346"/>
      <c r="C251" s="346"/>
      <c r="D251" s="346"/>
      <c r="E251" s="346"/>
      <c r="F251" s="346"/>
      <c r="G251" s="346"/>
      <c r="H251" s="346"/>
      <c r="Q251" s="383">
        <f t="shared" si="52"/>
        <v>0</v>
      </c>
    </row>
    <row r="252" spans="1:41">
      <c r="A252" s="355"/>
      <c r="B252" s="356"/>
      <c r="C252" s="356"/>
      <c r="D252" s="356"/>
      <c r="E252" s="356"/>
      <c r="F252" s="356"/>
      <c r="G252" s="356"/>
      <c r="H252" s="356"/>
      <c r="Q252" s="383">
        <f t="shared" si="52"/>
        <v>0</v>
      </c>
    </row>
    <row r="253" spans="1:41">
      <c r="A253" s="360"/>
      <c r="B253" s="361" t="s">
        <v>908</v>
      </c>
      <c r="C253" s="361"/>
      <c r="D253" s="361"/>
      <c r="E253" s="361"/>
      <c r="F253" s="361"/>
      <c r="G253" s="361"/>
      <c r="H253" s="362"/>
      <c r="Q253" s="383">
        <f t="shared" si="52"/>
        <v>0</v>
      </c>
    </row>
    <row r="254" spans="1:41">
      <c r="A254" s="360"/>
      <c r="B254" s="361" t="s">
        <v>909</v>
      </c>
      <c r="C254" s="361"/>
      <c r="D254" s="506" t="s">
        <v>910</v>
      </c>
      <c r="E254" s="504"/>
      <c r="F254" s="504"/>
      <c r="G254" s="504"/>
      <c r="H254" s="368" t="s">
        <v>800</v>
      </c>
      <c r="Q254" s="383">
        <f t="shared" si="52"/>
        <v>0</v>
      </c>
    </row>
    <row r="255" spans="1:41" ht="36">
      <c r="A255" s="360"/>
      <c r="B255" s="369" t="s">
        <v>911</v>
      </c>
      <c r="C255" s="370" t="s">
        <v>912</v>
      </c>
      <c r="D255" s="371" t="s">
        <v>913</v>
      </c>
      <c r="E255" s="372" t="s">
        <v>10</v>
      </c>
      <c r="F255" s="369" t="s">
        <v>914</v>
      </c>
      <c r="G255" s="373" t="s">
        <v>924</v>
      </c>
      <c r="H255" s="374" t="s">
        <v>916</v>
      </c>
      <c r="Q255" s="383">
        <f t="shared" si="52"/>
        <v>0</v>
      </c>
    </row>
    <row r="256" spans="1:41" ht="15.75" customHeight="1">
      <c r="A256" s="404" t="s">
        <v>885</v>
      </c>
      <c r="B256" s="378">
        <f>('Pivot Table for Data Exchange'!$K$6)*100</f>
        <v>0</v>
      </c>
      <c r="C256" s="378">
        <f>('Pivot Table for Data Exchange'!$K$9)*100</f>
        <v>0</v>
      </c>
      <c r="D256" s="379">
        <f>SUM(E256:G256)</f>
        <v>0</v>
      </c>
      <c r="E256" s="378">
        <f>('Pivot Table for Data Exchange'!$K$12)*100</f>
        <v>0</v>
      </c>
      <c r="F256" s="378">
        <f>('Pivot Table for Data Exchange'!$K$15)*100</f>
        <v>0</v>
      </c>
      <c r="G256" s="382">
        <f>('Pivot Table for Data Exchange'!$K$18)*100</f>
        <v>0</v>
      </c>
      <c r="H256" s="378">
        <f>('Pivot Table for Data Exchange'!$K$21)*100</f>
        <v>0</v>
      </c>
      <c r="I256" s="349"/>
      <c r="J256" s="417"/>
      <c r="K256" s="417"/>
      <c r="L256" s="417"/>
      <c r="M256" s="417"/>
      <c r="N256" s="417"/>
      <c r="O256" s="417"/>
      <c r="P256" s="417"/>
      <c r="Q256" s="383">
        <f t="shared" si="52"/>
        <v>0</v>
      </c>
      <c r="R256" s="383"/>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row>
    <row r="257" spans="1:41" ht="15.75" customHeight="1">
      <c r="A257" s="349" t="s">
        <v>886</v>
      </c>
      <c r="B257" s="378">
        <f>('Pivot Table for Data Exchange'!$K$42)*100</f>
        <v>0</v>
      </c>
      <c r="C257" s="378">
        <f>('Pivot Table for Data Exchange'!$K$45)*100</f>
        <v>0</v>
      </c>
      <c r="D257" s="379">
        <f t="shared" ref="D257:D259" si="62">SUM(E257:G257)</f>
        <v>0</v>
      </c>
      <c r="E257" s="378">
        <f>('Pivot Table for Data Exchange'!$K$48)*100</f>
        <v>0</v>
      </c>
      <c r="F257" s="378">
        <f>('Pivot Table for Data Exchange'!$K$51)*100</f>
        <v>0</v>
      </c>
      <c r="G257" s="386">
        <f>('Pivot Table for Data Exchange'!$K$54)*100</f>
        <v>0</v>
      </c>
      <c r="H257" s="378">
        <f>('Pivot Table for Data Exchange'!$K$57)*100</f>
        <v>0</v>
      </c>
      <c r="I257" s="349"/>
      <c r="J257" s="417"/>
      <c r="K257" s="417"/>
      <c r="L257" s="417"/>
      <c r="M257" s="417"/>
      <c r="N257" s="417"/>
      <c r="O257" s="417"/>
      <c r="P257" s="417"/>
      <c r="Q257" s="383">
        <f t="shared" si="52"/>
        <v>0</v>
      </c>
      <c r="R257" s="383"/>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384"/>
      <c r="AO257" s="384"/>
    </row>
    <row r="258" spans="1:41" ht="15.75" customHeight="1">
      <c r="A258" s="349" t="s">
        <v>887</v>
      </c>
      <c r="B258" s="378">
        <f>('Pivot Table for Data Exchange'!$K$78)*100</f>
        <v>0</v>
      </c>
      <c r="C258" s="378">
        <f>('Pivot Table for Data Exchange'!$K$81)*100</f>
        <v>0</v>
      </c>
      <c r="D258" s="379">
        <f t="shared" si="62"/>
        <v>0</v>
      </c>
      <c r="E258" s="378">
        <f>('Pivot Table for Data Exchange'!$K$84)*100</f>
        <v>0</v>
      </c>
      <c r="F258" s="378">
        <f>('Pivot Table for Data Exchange'!$K$87)*100</f>
        <v>0</v>
      </c>
      <c r="G258" s="386">
        <f>('Pivot Table for Data Exchange'!$K$90)*100</f>
        <v>0</v>
      </c>
      <c r="H258" s="378">
        <f>('Pivot Table for Data Exchange'!$K$93)*100</f>
        <v>0</v>
      </c>
      <c r="I258" s="349"/>
      <c r="J258" s="417"/>
      <c r="K258" s="417"/>
      <c r="L258" s="417"/>
      <c r="M258" s="417"/>
      <c r="N258" s="417"/>
      <c r="O258" s="417"/>
      <c r="P258" s="417"/>
      <c r="Q258" s="383">
        <f t="shared" si="52"/>
        <v>0</v>
      </c>
      <c r="R258" s="383"/>
      <c r="S258" s="384"/>
      <c r="T258" s="358"/>
      <c r="U258" s="384"/>
      <c r="V258" s="384"/>
      <c r="W258" s="384"/>
      <c r="X258" s="384"/>
      <c r="Y258" s="384"/>
      <c r="Z258" s="384"/>
      <c r="AA258" s="384"/>
      <c r="AB258" s="384"/>
      <c r="AC258" s="384"/>
      <c r="AD258" s="384"/>
      <c r="AE258" s="384"/>
      <c r="AF258" s="384"/>
      <c r="AG258" s="384"/>
      <c r="AH258" s="384"/>
      <c r="AI258" s="384"/>
      <c r="AJ258" s="384"/>
      <c r="AK258" s="384"/>
      <c r="AL258" s="384"/>
      <c r="AM258" s="384"/>
      <c r="AN258" s="384"/>
      <c r="AO258" s="384"/>
    </row>
    <row r="259" spans="1:41" ht="15.75" customHeight="1">
      <c r="A259" s="349" t="s">
        <v>925</v>
      </c>
      <c r="B259" s="378">
        <f>('Pivot Table for Data Exchange'!$K$114)*100</f>
        <v>71.959680792049625</v>
      </c>
      <c r="C259" s="378">
        <f>('Pivot Table for Data Exchange'!$K$117)*100</f>
        <v>3.3405566576305041</v>
      </c>
      <c r="D259" s="379">
        <f t="shared" si="62"/>
        <v>24.667994597593154</v>
      </c>
      <c r="E259" s="378">
        <f>('Pivot Table for Data Exchange'!$K$120)*100</f>
        <v>24.592810030610508</v>
      </c>
      <c r="F259" s="378">
        <f>('Pivot Table for Data Exchange'!$K$123)*100</f>
        <v>6.4673566664350127E-3</v>
      </c>
      <c r="G259" s="386">
        <f>('Pivot Table for Data Exchange'!$K$126)*100</f>
        <v>6.8717210316212932E-2</v>
      </c>
      <c r="H259" s="378">
        <f>('Pivot Table for Data Exchange'!$K$129)*100</f>
        <v>3.1767952726714239E-2</v>
      </c>
      <c r="I259" s="349"/>
      <c r="J259" s="417"/>
      <c r="K259" s="417"/>
      <c r="L259" s="417"/>
      <c r="M259" s="417"/>
      <c r="N259" s="417"/>
      <c r="O259" s="417"/>
      <c r="P259" s="417"/>
      <c r="Q259" s="383">
        <f t="shared" si="52"/>
        <v>99.999999999999986</v>
      </c>
      <c r="R259" s="383"/>
      <c r="S259" s="384"/>
      <c r="U259" s="384"/>
      <c r="V259" s="384"/>
      <c r="W259" s="384"/>
      <c r="X259" s="384"/>
      <c r="Y259" s="384"/>
      <c r="Z259" s="384"/>
      <c r="AA259" s="384"/>
      <c r="AB259" s="384"/>
      <c r="AC259" s="384"/>
      <c r="AD259" s="384"/>
      <c r="AE259" s="384"/>
      <c r="AF259" s="384"/>
      <c r="AG259" s="384"/>
      <c r="AH259" s="384"/>
      <c r="AI259" s="384"/>
      <c r="AJ259" s="384"/>
      <c r="AK259" s="384"/>
      <c r="AL259" s="384"/>
      <c r="AM259" s="384"/>
      <c r="AN259" s="384"/>
      <c r="AO259" s="384"/>
    </row>
    <row r="260" spans="1:41" ht="15.75" customHeight="1">
      <c r="B260" s="378"/>
      <c r="C260" s="378"/>
      <c r="D260" s="379"/>
      <c r="E260" s="378"/>
      <c r="F260" s="378"/>
      <c r="G260" s="386"/>
      <c r="H260" s="378"/>
      <c r="I260" s="349"/>
      <c r="J260" s="417"/>
      <c r="K260" s="417"/>
      <c r="L260" s="417"/>
      <c r="M260" s="417"/>
      <c r="N260" s="417"/>
      <c r="O260" s="417"/>
      <c r="P260" s="417"/>
      <c r="Q260" s="383">
        <f t="shared" si="52"/>
        <v>0</v>
      </c>
      <c r="R260" s="383"/>
      <c r="S260" s="384"/>
      <c r="U260" s="384"/>
      <c r="V260" s="384"/>
      <c r="W260" s="384"/>
      <c r="X260" s="384"/>
      <c r="Y260" s="384"/>
      <c r="Z260" s="384"/>
      <c r="AA260" s="384"/>
      <c r="AB260" s="384"/>
      <c r="AC260" s="384"/>
      <c r="AD260" s="384"/>
      <c r="AE260" s="384"/>
      <c r="AF260" s="384"/>
      <c r="AG260" s="384"/>
      <c r="AH260" s="384"/>
      <c r="AI260" s="384"/>
      <c r="AJ260" s="384"/>
      <c r="AK260" s="384"/>
      <c r="AL260" s="384"/>
      <c r="AM260" s="384"/>
      <c r="AN260" s="384"/>
      <c r="AO260" s="384"/>
    </row>
    <row r="261" spans="1:41" ht="15.75" customHeight="1">
      <c r="A261" s="349" t="s">
        <v>889</v>
      </c>
      <c r="B261" s="378">
        <f>('Pivot Table for Data Exchange'!$K$150)*100</f>
        <v>64.690858784718529</v>
      </c>
      <c r="C261" s="378">
        <f>('Pivot Table for Data Exchange'!$K$153)*100</f>
        <v>13.352706673979419</v>
      </c>
      <c r="D261" s="379">
        <f t="shared" ref="D261:D264" si="63">SUM(E261:G261)</f>
        <v>21.956434541302052</v>
      </c>
      <c r="E261" s="378">
        <f>('Pivot Table for Data Exchange'!$K$156)*100</f>
        <v>21.860331857139347</v>
      </c>
      <c r="F261" s="378">
        <f>('Pivot Table for Data Exchange'!$K$159)*100</f>
        <v>2.3575445518618874E-2</v>
      </c>
      <c r="G261" s="386">
        <f>('Pivot Table for Data Exchange'!$K$162)*100</f>
        <v>7.2527238644084446E-2</v>
      </c>
      <c r="H261" s="378">
        <f>('Pivot Table for Data Exchange'!$K$165)*100</f>
        <v>0</v>
      </c>
      <c r="I261" s="349"/>
      <c r="J261" s="417"/>
      <c r="K261" s="417"/>
      <c r="L261" s="417"/>
      <c r="M261" s="417"/>
      <c r="N261" s="417"/>
      <c r="O261" s="417"/>
      <c r="P261" s="417"/>
      <c r="Q261" s="383">
        <f t="shared" si="52"/>
        <v>100</v>
      </c>
      <c r="R261" s="383"/>
      <c r="S261" s="384"/>
      <c r="T261" s="384"/>
      <c r="U261" s="384"/>
      <c r="V261" s="384"/>
      <c r="W261" s="384"/>
      <c r="X261" s="384"/>
      <c r="Y261" s="384"/>
      <c r="Z261" s="384"/>
      <c r="AA261" s="384"/>
      <c r="AB261" s="384"/>
      <c r="AC261" s="384"/>
      <c r="AD261" s="384"/>
      <c r="AE261" s="384"/>
      <c r="AF261" s="384"/>
      <c r="AG261" s="384"/>
      <c r="AH261" s="384"/>
      <c r="AI261" s="384"/>
      <c r="AJ261" s="384"/>
      <c r="AK261" s="384"/>
      <c r="AL261" s="384"/>
      <c r="AM261" s="384"/>
      <c r="AN261" s="384"/>
      <c r="AO261" s="384"/>
    </row>
    <row r="262" spans="1:41" ht="15.75" customHeight="1">
      <c r="A262" s="349" t="s">
        <v>890</v>
      </c>
      <c r="B262" s="378">
        <f>('Pivot Table for Data Exchange'!$K$186)*100</f>
        <v>0</v>
      </c>
      <c r="C262" s="378">
        <f>('Pivot Table for Data Exchange'!$K$189)*100</f>
        <v>0</v>
      </c>
      <c r="D262" s="379">
        <f t="shared" si="63"/>
        <v>0</v>
      </c>
      <c r="E262" s="378">
        <f>('Pivot Table for Data Exchange'!$K$192)*100</f>
        <v>0</v>
      </c>
      <c r="F262" s="378">
        <f>('Pivot Table for Data Exchange'!$K$195)*100</f>
        <v>0</v>
      </c>
      <c r="G262" s="386">
        <f>('Pivot Table for Data Exchange'!$K$198)*100</f>
        <v>0</v>
      </c>
      <c r="H262" s="378">
        <f>('Pivot Table for Data Exchange'!$K$201)*100</f>
        <v>0</v>
      </c>
      <c r="I262" s="349"/>
      <c r="J262" s="417"/>
      <c r="K262" s="417"/>
      <c r="L262" s="417"/>
      <c r="M262" s="417"/>
      <c r="N262" s="417"/>
      <c r="O262" s="417"/>
      <c r="P262" s="417"/>
      <c r="Q262" s="383">
        <f t="shared" si="52"/>
        <v>0</v>
      </c>
      <c r="R262" s="383"/>
      <c r="S262" s="384"/>
      <c r="T262" s="384"/>
      <c r="U262" s="384"/>
      <c r="V262" s="384"/>
      <c r="W262" s="384"/>
      <c r="X262" s="384"/>
      <c r="Y262" s="384"/>
      <c r="Z262" s="384"/>
      <c r="AA262" s="384"/>
      <c r="AB262" s="384"/>
      <c r="AC262" s="384"/>
      <c r="AD262" s="384"/>
      <c r="AE262" s="384"/>
      <c r="AF262" s="384"/>
      <c r="AG262" s="384"/>
      <c r="AH262" s="384"/>
      <c r="AI262" s="384"/>
      <c r="AJ262" s="384"/>
      <c r="AK262" s="384"/>
      <c r="AL262" s="384"/>
      <c r="AM262" s="384"/>
      <c r="AN262" s="384"/>
      <c r="AO262" s="384"/>
    </row>
    <row r="263" spans="1:41" ht="15.75" customHeight="1">
      <c r="A263" s="349" t="s">
        <v>891</v>
      </c>
      <c r="B263" s="378">
        <f>('Pivot Table for Data Exchange'!$K$222)*100</f>
        <v>0</v>
      </c>
      <c r="C263" s="378">
        <f>('Pivot Table for Data Exchange'!$K$225)*100</f>
        <v>0</v>
      </c>
      <c r="D263" s="379">
        <f t="shared" si="63"/>
        <v>0</v>
      </c>
      <c r="E263" s="378">
        <f>('Pivot Table for Data Exchange'!$K$228)*100</f>
        <v>0</v>
      </c>
      <c r="F263" s="378">
        <f>('Pivot Table for Data Exchange'!$K$231)*100</f>
        <v>0</v>
      </c>
      <c r="G263" s="386">
        <f>('Pivot Table for Data Exchange'!$K$234)*100</f>
        <v>0</v>
      </c>
      <c r="H263" s="378">
        <f>('Pivot Table for Data Exchange'!$K$237)*100</f>
        <v>0</v>
      </c>
      <c r="I263" s="349"/>
      <c r="J263" s="417"/>
      <c r="K263" s="417"/>
      <c r="L263" s="417"/>
      <c r="M263" s="417"/>
      <c r="N263" s="417"/>
      <c r="O263" s="417"/>
      <c r="P263" s="417"/>
      <c r="Q263" s="383">
        <f t="shared" si="52"/>
        <v>0</v>
      </c>
      <c r="R263" s="383"/>
      <c r="S263" s="384"/>
      <c r="T263" s="358"/>
      <c r="U263" s="384"/>
      <c r="V263" s="384"/>
      <c r="W263" s="384"/>
      <c r="X263" s="384"/>
      <c r="Y263" s="384"/>
      <c r="Z263" s="384"/>
      <c r="AA263" s="384"/>
      <c r="AB263" s="384"/>
      <c r="AC263" s="384"/>
      <c r="AD263" s="384"/>
      <c r="AE263" s="384"/>
      <c r="AF263" s="384"/>
      <c r="AG263" s="384"/>
      <c r="AH263" s="384"/>
      <c r="AI263" s="384"/>
      <c r="AJ263" s="384"/>
      <c r="AK263" s="384"/>
      <c r="AL263" s="384"/>
      <c r="AM263" s="384"/>
      <c r="AN263" s="384"/>
      <c r="AO263" s="384"/>
    </row>
    <row r="264" spans="1:41" ht="15.75" customHeight="1">
      <c r="A264" s="349" t="s">
        <v>892</v>
      </c>
      <c r="B264" s="378">
        <f>('Pivot Table for Data Exchange'!$K$258)*100</f>
        <v>0</v>
      </c>
      <c r="C264" s="378">
        <f>('Pivot Table for Data Exchange'!$K$261)*100</f>
        <v>0</v>
      </c>
      <c r="D264" s="379">
        <f t="shared" si="63"/>
        <v>0</v>
      </c>
      <c r="E264" s="378">
        <f>('Pivot Table for Data Exchange'!$K$264)*100</f>
        <v>0</v>
      </c>
      <c r="F264" s="378">
        <f>('Pivot Table for Data Exchange'!$K$267)*100</f>
        <v>0</v>
      </c>
      <c r="G264" s="386">
        <f>('Pivot Table for Data Exchange'!$K$270)*100</f>
        <v>0</v>
      </c>
      <c r="H264" s="378">
        <f>('Pivot Table for Data Exchange'!$K$273)*100</f>
        <v>0</v>
      </c>
      <c r="I264" s="349"/>
      <c r="J264" s="417"/>
      <c r="K264" s="417"/>
      <c r="L264" s="417"/>
      <c r="M264" s="417"/>
      <c r="N264" s="417"/>
      <c r="O264" s="417"/>
      <c r="P264" s="417"/>
      <c r="Q264" s="383">
        <f t="shared" si="52"/>
        <v>0</v>
      </c>
      <c r="R264" s="383"/>
      <c r="S264" s="384"/>
      <c r="U264" s="384"/>
      <c r="V264" s="384"/>
      <c r="W264" s="384"/>
      <c r="X264" s="384"/>
      <c r="Y264" s="384"/>
      <c r="Z264" s="384"/>
      <c r="AA264" s="384"/>
      <c r="AB264" s="384"/>
      <c r="AC264" s="384"/>
      <c r="AD264" s="384"/>
      <c r="AE264" s="384"/>
      <c r="AF264" s="384"/>
      <c r="AG264" s="384"/>
      <c r="AH264" s="384"/>
      <c r="AI264" s="384"/>
      <c r="AJ264" s="384"/>
      <c r="AK264" s="384"/>
      <c r="AL264" s="384"/>
      <c r="AM264" s="384"/>
      <c r="AN264" s="384"/>
      <c r="AO264" s="384"/>
    </row>
    <row r="265" spans="1:41" ht="15.75" customHeight="1">
      <c r="B265" s="378"/>
      <c r="C265" s="378"/>
      <c r="D265" s="379"/>
      <c r="E265" s="378"/>
      <c r="F265" s="378"/>
      <c r="G265" s="386"/>
      <c r="H265" s="378"/>
      <c r="I265" s="349"/>
      <c r="J265" s="417"/>
      <c r="K265" s="417"/>
      <c r="L265" s="417"/>
      <c r="M265" s="417"/>
      <c r="N265" s="417"/>
      <c r="O265" s="417"/>
      <c r="P265" s="417"/>
      <c r="Q265" s="383">
        <f t="shared" si="52"/>
        <v>0</v>
      </c>
      <c r="R265" s="383"/>
      <c r="S265" s="384"/>
      <c r="U265" s="384"/>
      <c r="V265" s="384"/>
      <c r="W265" s="384"/>
      <c r="X265" s="384"/>
      <c r="Y265" s="384"/>
      <c r="Z265" s="384"/>
      <c r="AA265" s="384"/>
      <c r="AB265" s="384"/>
      <c r="AC265" s="384"/>
      <c r="AD265" s="384"/>
      <c r="AE265" s="384"/>
      <c r="AF265" s="384"/>
      <c r="AG265" s="384"/>
      <c r="AH265" s="384"/>
      <c r="AI265" s="384"/>
      <c r="AJ265" s="384"/>
      <c r="AK265" s="384"/>
      <c r="AL265" s="384"/>
      <c r="AM265" s="384"/>
      <c r="AN265" s="384"/>
      <c r="AO265" s="384"/>
    </row>
    <row r="266" spans="1:41" ht="15.75" customHeight="1">
      <c r="A266" s="349" t="s">
        <v>893</v>
      </c>
      <c r="B266" s="378">
        <f>('Pivot Table for Data Exchange'!$K$294)*100</f>
        <v>0</v>
      </c>
      <c r="C266" s="378">
        <f>('Pivot Table for Data Exchange'!$K$297)*100</f>
        <v>0</v>
      </c>
      <c r="D266" s="379">
        <f t="shared" ref="D266:D268" si="64">SUM(E266:G266)</f>
        <v>0</v>
      </c>
      <c r="E266" s="378">
        <f>('Pivot Table for Data Exchange'!$K$300)*100</f>
        <v>0</v>
      </c>
      <c r="F266" s="378">
        <f>('Pivot Table for Data Exchange'!$K$303)*100</f>
        <v>0</v>
      </c>
      <c r="G266" s="386">
        <f>('Pivot Table for Data Exchange'!$K$306)*100</f>
        <v>0</v>
      </c>
      <c r="H266" s="378">
        <f>('Pivot Table for Data Exchange'!$K$309)*100</f>
        <v>0</v>
      </c>
      <c r="I266" s="349"/>
      <c r="J266" s="417"/>
      <c r="K266" s="417"/>
      <c r="L266" s="417"/>
      <c r="M266" s="417"/>
      <c r="N266" s="417"/>
      <c r="O266" s="417"/>
      <c r="P266" s="417"/>
      <c r="Q266" s="383">
        <f t="shared" si="52"/>
        <v>0</v>
      </c>
      <c r="R266" s="383"/>
      <c r="S266" s="384"/>
      <c r="T266" s="384"/>
      <c r="U266" s="384"/>
      <c r="V266" s="384"/>
      <c r="W266" s="384"/>
      <c r="X266" s="384"/>
      <c r="Y266" s="384"/>
      <c r="Z266" s="384"/>
      <c r="AA266" s="384"/>
      <c r="AB266" s="384"/>
      <c r="AC266" s="384"/>
      <c r="AD266" s="384"/>
      <c r="AE266" s="384"/>
      <c r="AF266" s="384"/>
      <c r="AG266" s="384"/>
      <c r="AH266" s="384"/>
      <c r="AI266" s="384"/>
      <c r="AJ266" s="384"/>
      <c r="AK266" s="384"/>
      <c r="AL266" s="384"/>
      <c r="AM266" s="384"/>
      <c r="AN266" s="384"/>
      <c r="AO266" s="384"/>
    </row>
    <row r="267" spans="1:41" ht="15.75" customHeight="1">
      <c r="A267" s="349" t="s">
        <v>894</v>
      </c>
      <c r="B267" s="378">
        <f>('Pivot Table for Data Exchange'!$K$330)*100</f>
        <v>0</v>
      </c>
      <c r="C267" s="378">
        <f>('Pivot Table for Data Exchange'!$K$333)*100</f>
        <v>0</v>
      </c>
      <c r="D267" s="379">
        <f t="shared" si="64"/>
        <v>0</v>
      </c>
      <c r="E267" s="378">
        <f>('Pivot Table for Data Exchange'!$K$336)*100</f>
        <v>0</v>
      </c>
      <c r="F267" s="378">
        <f>('Pivot Table for Data Exchange'!$K$339)*100</f>
        <v>0</v>
      </c>
      <c r="G267" s="386">
        <f>('Pivot Table for Data Exchange'!$K$342)*100</f>
        <v>0</v>
      </c>
      <c r="H267" s="378">
        <f>('Pivot Table for Data Exchange'!$K$345)*100</f>
        <v>0</v>
      </c>
      <c r="I267" s="349"/>
      <c r="J267" s="417"/>
      <c r="K267" s="417"/>
      <c r="L267" s="417"/>
      <c r="M267" s="417"/>
      <c r="N267" s="417"/>
      <c r="O267" s="417"/>
      <c r="P267" s="417"/>
      <c r="Q267" s="383">
        <f t="shared" ref="Q267:Q330" si="65">SUM(B267,C267,D267,H267)</f>
        <v>0</v>
      </c>
      <c r="R267" s="383"/>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84"/>
      <c r="AN267" s="384"/>
      <c r="AO267" s="384"/>
    </row>
    <row r="268" spans="1:41" ht="15.75" customHeight="1">
      <c r="A268" s="349" t="s">
        <v>895</v>
      </c>
      <c r="B268" s="378">
        <f>('Pivot Table for Data Exchange'!$K$366)*100</f>
        <v>66.444025263660848</v>
      </c>
      <c r="C268" s="378">
        <f>('Pivot Table for Data Exchange'!$K$369)*100</f>
        <v>0.52757053767401119</v>
      </c>
      <c r="D268" s="379">
        <f t="shared" si="64"/>
        <v>33.023924826175467</v>
      </c>
      <c r="E268" s="378">
        <f>('Pivot Table for Data Exchange'!$K$372)*100</f>
        <v>32.336092294981611</v>
      </c>
      <c r="F268" s="378">
        <f>('Pivot Table for Data Exchange'!$K$375)*100</f>
        <v>0.33445981256314672</v>
      </c>
      <c r="G268" s="386">
        <f>('Pivot Table for Data Exchange'!$K$378)*100</f>
        <v>0.35337271863070563</v>
      </c>
      <c r="H268" s="378">
        <f>('Pivot Table for Data Exchange'!$K$381)*100</f>
        <v>4.4793724896850006E-3</v>
      </c>
      <c r="I268" s="349"/>
      <c r="J268" s="417"/>
      <c r="K268" s="417"/>
      <c r="L268" s="417"/>
      <c r="M268" s="417"/>
      <c r="N268" s="417"/>
      <c r="O268" s="417"/>
      <c r="P268" s="417"/>
      <c r="Q268" s="383">
        <f t="shared" si="65"/>
        <v>100.00000000000001</v>
      </c>
      <c r="R268" s="383"/>
      <c r="S268" s="384"/>
      <c r="T268" s="358"/>
      <c r="U268" s="384"/>
      <c r="V268" s="384"/>
      <c r="W268" s="384"/>
      <c r="X268" s="384"/>
      <c r="Y268" s="384"/>
      <c r="Z268" s="384"/>
      <c r="AA268" s="384"/>
      <c r="AB268" s="384"/>
      <c r="AC268" s="384"/>
      <c r="AD268" s="384"/>
      <c r="AE268" s="384"/>
      <c r="AF268" s="384"/>
      <c r="AG268" s="384"/>
      <c r="AH268" s="384"/>
      <c r="AI268" s="384"/>
      <c r="AJ268" s="384"/>
      <c r="AK268" s="384"/>
      <c r="AL268" s="384"/>
      <c r="AM268" s="384"/>
      <c r="AN268" s="384"/>
      <c r="AO268" s="384"/>
    </row>
    <row r="269" spans="1:41" ht="15.75" customHeight="1">
      <c r="A269" s="349" t="s">
        <v>896</v>
      </c>
      <c r="B269" s="378">
        <f>('Pivot Table for Data Exchange'!$K$402)*100</f>
        <v>0</v>
      </c>
      <c r="C269" s="378">
        <f>('Pivot Table for Data Exchange'!$K$405)*100</f>
        <v>0</v>
      </c>
      <c r="D269" s="379">
        <f>SUM(E269:G269)</f>
        <v>0</v>
      </c>
      <c r="E269" s="378">
        <f>('Pivot Table for Data Exchange'!$K$408)*100</f>
        <v>0</v>
      </c>
      <c r="F269" s="378">
        <f>('Pivot Table for Data Exchange'!$K$411)*100</f>
        <v>0</v>
      </c>
      <c r="G269" s="386">
        <f>('Pivot Table for Data Exchange'!$K$414)*100</f>
        <v>0</v>
      </c>
      <c r="H269" s="378">
        <f>('Pivot Table for Data Exchange'!$K$417)*100</f>
        <v>0</v>
      </c>
      <c r="I269" s="349"/>
      <c r="J269" s="417"/>
      <c r="K269" s="417"/>
      <c r="L269" s="417"/>
      <c r="M269" s="417"/>
      <c r="N269" s="417"/>
      <c r="O269" s="417"/>
      <c r="P269" s="417"/>
      <c r="Q269" s="383">
        <f t="shared" si="65"/>
        <v>0</v>
      </c>
      <c r="R269" s="383"/>
      <c r="S269" s="384"/>
      <c r="T269" s="384"/>
      <c r="U269" s="384"/>
      <c r="V269" s="384"/>
      <c r="W269" s="384"/>
      <c r="X269" s="384"/>
      <c r="Y269" s="384"/>
      <c r="Z269" s="384"/>
      <c r="AA269" s="384"/>
      <c r="AB269" s="384"/>
      <c r="AC269" s="384"/>
      <c r="AD269" s="384"/>
      <c r="AE269" s="384"/>
      <c r="AF269" s="384"/>
      <c r="AG269" s="384"/>
      <c r="AH269" s="384"/>
      <c r="AI269" s="384"/>
      <c r="AJ269" s="384"/>
      <c r="AK269" s="384"/>
      <c r="AL269" s="384"/>
      <c r="AM269" s="384"/>
      <c r="AN269" s="384"/>
      <c r="AO269" s="384"/>
    </row>
    <row r="270" spans="1:41" ht="15.75" customHeight="1">
      <c r="B270" s="378"/>
      <c r="C270" s="378"/>
      <c r="D270" s="379"/>
      <c r="E270" s="378"/>
      <c r="F270" s="378"/>
      <c r="G270" s="386"/>
      <c r="H270" s="378"/>
      <c r="I270" s="349"/>
      <c r="J270" s="417"/>
      <c r="K270" s="417"/>
      <c r="L270" s="417"/>
      <c r="M270" s="417"/>
      <c r="N270" s="417"/>
      <c r="O270" s="417"/>
      <c r="P270" s="417"/>
      <c r="Q270" s="383">
        <f t="shared" si="65"/>
        <v>0</v>
      </c>
      <c r="R270" s="383"/>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row>
    <row r="271" spans="1:41" ht="15.75" customHeight="1">
      <c r="A271" s="349" t="s">
        <v>897</v>
      </c>
      <c r="B271" s="378">
        <f>('Pivot Table for Data Exchange'!$K$438)*100</f>
        <v>0</v>
      </c>
      <c r="C271" s="378">
        <f>('Pivot Table for Data Exchange'!$K$441)*100</f>
        <v>0</v>
      </c>
      <c r="D271" s="379">
        <f>SUM(E271:G271)</f>
        <v>0</v>
      </c>
      <c r="E271" s="378">
        <f>('Pivot Table for Data Exchange'!$K$444)*100</f>
        <v>0</v>
      </c>
      <c r="F271" s="378">
        <f>('Pivot Table for Data Exchange'!$K$447)*100</f>
        <v>0</v>
      </c>
      <c r="G271" s="386">
        <f>('Pivot Table for Data Exchange'!$K$450)*100</f>
        <v>0</v>
      </c>
      <c r="H271" s="378">
        <f>('Pivot Table for Data Exchange'!$K$453)*100</f>
        <v>0</v>
      </c>
      <c r="I271" s="349"/>
      <c r="J271" s="417"/>
      <c r="K271" s="417"/>
      <c r="L271" s="417"/>
      <c r="M271" s="417"/>
      <c r="N271" s="417"/>
      <c r="O271" s="417"/>
      <c r="P271" s="417"/>
      <c r="Q271" s="383">
        <f t="shared" si="65"/>
        <v>0</v>
      </c>
      <c r="R271" s="383"/>
      <c r="S271" s="384"/>
      <c r="T271" s="384"/>
      <c r="U271" s="384"/>
      <c r="V271" s="384"/>
      <c r="W271" s="384"/>
      <c r="X271" s="384"/>
      <c r="Y271" s="384"/>
      <c r="Z271" s="384"/>
      <c r="AA271" s="384"/>
      <c r="AB271" s="384"/>
      <c r="AC271" s="384"/>
      <c r="AD271" s="384"/>
      <c r="AE271" s="384"/>
      <c r="AF271" s="384"/>
      <c r="AG271" s="384"/>
      <c r="AH271" s="384"/>
      <c r="AI271" s="384"/>
      <c r="AJ271" s="384"/>
      <c r="AK271" s="384"/>
      <c r="AL271" s="384"/>
      <c r="AM271" s="384"/>
      <c r="AN271" s="384"/>
      <c r="AO271" s="384"/>
    </row>
    <row r="272" spans="1:41" ht="15.75" customHeight="1">
      <c r="A272" s="349" t="s">
        <v>898</v>
      </c>
      <c r="B272" s="378">
        <f>('Pivot Table for Data Exchange'!$K$474)*100</f>
        <v>74.883083541069468</v>
      </c>
      <c r="C272" s="378">
        <f>('Pivot Table for Data Exchange'!$K$477)*100</f>
        <v>1.6994260742329439</v>
      </c>
      <c r="D272" s="379">
        <f>SUM(E272:G272)</f>
        <v>23.417490384697594</v>
      </c>
      <c r="E272" s="378">
        <f>('Pivot Table for Data Exchange'!$K$480)*100</f>
        <v>22.852847094401568</v>
      </c>
      <c r="F272" s="378">
        <f>('Pivot Table for Data Exchange'!$K$483)*100</f>
        <v>9.5511800348581435E-2</v>
      </c>
      <c r="G272" s="389">
        <f>('Pivot Table for Data Exchange'!$K$486)*100</f>
        <v>0.46913148994744402</v>
      </c>
      <c r="H272" s="378">
        <f>('Pivot Table for Data Exchange'!$K$489)*100</f>
        <v>0</v>
      </c>
      <c r="I272" s="349"/>
      <c r="J272" s="417"/>
      <c r="K272" s="417"/>
      <c r="L272" s="417"/>
      <c r="M272" s="417"/>
      <c r="N272" s="417"/>
      <c r="O272" s="417"/>
      <c r="P272" s="417"/>
      <c r="Q272" s="383">
        <f t="shared" si="65"/>
        <v>100</v>
      </c>
      <c r="R272" s="383"/>
      <c r="S272" s="384"/>
      <c r="T272" s="384"/>
      <c r="U272" s="384"/>
      <c r="V272" s="384"/>
      <c r="W272" s="384"/>
      <c r="X272" s="384"/>
      <c r="Y272" s="384"/>
      <c r="Z272" s="384"/>
      <c r="AA272" s="384"/>
      <c r="AB272" s="384"/>
      <c r="AC272" s="384"/>
      <c r="AD272" s="384"/>
      <c r="AE272" s="384"/>
      <c r="AF272" s="384"/>
      <c r="AG272" s="384"/>
      <c r="AH272" s="384"/>
      <c r="AI272" s="384"/>
      <c r="AJ272" s="384"/>
      <c r="AK272" s="384"/>
      <c r="AL272" s="384"/>
      <c r="AM272" s="384"/>
      <c r="AN272" s="384"/>
      <c r="AO272" s="384"/>
    </row>
    <row r="273" spans="1:41" ht="15.75" customHeight="1">
      <c r="A273" s="349" t="s">
        <v>899</v>
      </c>
      <c r="B273" s="378">
        <f>('Pivot Table for Data Exchange'!$K$510)*100</f>
        <v>0</v>
      </c>
      <c r="C273" s="378">
        <f>('Pivot Table for Data Exchange'!$K$513)*100</f>
        <v>0</v>
      </c>
      <c r="D273" s="379">
        <f t="shared" ref="D273" si="66">SUM(E273:G273)</f>
        <v>0</v>
      </c>
      <c r="E273" s="378">
        <f>('Pivot Table for Data Exchange'!$K$516)*100</f>
        <v>0</v>
      </c>
      <c r="F273" s="378">
        <f>('Pivot Table for Data Exchange'!$K$519)*100</f>
        <v>0</v>
      </c>
      <c r="G273" s="386">
        <f>('Pivot Table for Data Exchange'!$K$522)*100</f>
        <v>0</v>
      </c>
      <c r="H273" s="378">
        <f>('Pivot Table for Data Exchange'!$K$525)*100</f>
        <v>0</v>
      </c>
      <c r="I273" s="349"/>
      <c r="J273" s="417"/>
      <c r="K273" s="417"/>
      <c r="L273" s="417"/>
      <c r="M273" s="417"/>
      <c r="N273" s="417"/>
      <c r="O273" s="417"/>
      <c r="P273" s="417"/>
      <c r="Q273" s="383">
        <f t="shared" si="65"/>
        <v>0</v>
      </c>
      <c r="R273" s="383"/>
      <c r="S273" s="384"/>
      <c r="T273" s="384"/>
      <c r="U273" s="384"/>
      <c r="V273" s="384"/>
      <c r="W273" s="384"/>
      <c r="X273" s="384"/>
      <c r="Y273" s="384"/>
      <c r="Z273" s="384"/>
      <c r="AA273" s="384"/>
      <c r="AB273" s="384"/>
      <c r="AC273" s="384"/>
      <c r="AD273" s="384"/>
      <c r="AE273" s="384"/>
      <c r="AF273" s="384"/>
      <c r="AG273" s="384"/>
      <c r="AH273" s="384"/>
      <c r="AI273" s="384"/>
      <c r="AJ273" s="384"/>
      <c r="AK273" s="384"/>
      <c r="AL273" s="384"/>
      <c r="AM273" s="384"/>
      <c r="AN273" s="384"/>
      <c r="AO273" s="384"/>
    </row>
    <row r="274" spans="1:41" ht="15.75" customHeight="1">
      <c r="A274" s="355" t="s">
        <v>900</v>
      </c>
      <c r="B274" s="391">
        <f>('Pivot Table for Data Exchange'!$K$546)*100</f>
        <v>67.87679600419473</v>
      </c>
      <c r="C274" s="391">
        <f>('Pivot Table for Data Exchange'!$K$549)*100</f>
        <v>9.4003048747526954</v>
      </c>
      <c r="D274" s="392">
        <f>SUM(E274:G274)</f>
        <v>22.722899121052574</v>
      </c>
      <c r="E274" s="391">
        <f>('Pivot Table for Data Exchange'!$K$552)*100</f>
        <v>22.453701201120037</v>
      </c>
      <c r="F274" s="391">
        <f>('Pivot Table for Data Exchange'!$K$555)*100</f>
        <v>0</v>
      </c>
      <c r="G274" s="393">
        <f>('Pivot Table for Data Exchange'!$K$558)*100</f>
        <v>0.26919791993253839</v>
      </c>
      <c r="H274" s="391">
        <f>('Pivot Table for Data Exchange'!$K$561)*100</f>
        <v>0</v>
      </c>
      <c r="I274" s="349"/>
      <c r="J274" s="417"/>
      <c r="K274" s="417"/>
      <c r="L274" s="417"/>
      <c r="M274" s="417"/>
      <c r="N274" s="417"/>
      <c r="O274" s="417"/>
      <c r="P274" s="417"/>
      <c r="Q274" s="383">
        <f t="shared" si="65"/>
        <v>100</v>
      </c>
      <c r="R274" s="383"/>
      <c r="S274" s="384"/>
      <c r="T274" s="384"/>
      <c r="U274" s="384"/>
      <c r="V274" s="384"/>
      <c r="W274" s="384"/>
      <c r="X274" s="384"/>
      <c r="Y274" s="384"/>
      <c r="Z274" s="384"/>
      <c r="AA274" s="384"/>
      <c r="AB274" s="384"/>
      <c r="AC274" s="384"/>
      <c r="AD274" s="384"/>
      <c r="AE274" s="384"/>
      <c r="AF274" s="384"/>
      <c r="AG274" s="384"/>
      <c r="AH274" s="384"/>
      <c r="AI274" s="384"/>
      <c r="AJ274" s="384"/>
      <c r="AK274" s="384"/>
      <c r="AL274" s="384"/>
      <c r="AM274" s="384"/>
      <c r="AN274" s="384"/>
      <c r="AO274" s="384"/>
    </row>
    <row r="275" spans="1:41" s="396" customFormat="1" ht="12" customHeight="1">
      <c r="A275" s="397" t="s">
        <v>926</v>
      </c>
      <c r="B275" s="398"/>
      <c r="C275" s="398"/>
      <c r="D275" s="399"/>
      <c r="E275" s="398"/>
      <c r="F275" s="399"/>
      <c r="G275" s="399"/>
      <c r="H275" s="398"/>
      <c r="I275" s="407"/>
      <c r="J275" s="398"/>
      <c r="K275" s="398"/>
      <c r="L275" s="399"/>
      <c r="M275" s="398"/>
      <c r="N275" s="399"/>
      <c r="O275" s="399"/>
      <c r="P275" s="398"/>
      <c r="Q275" s="383">
        <f t="shared" si="65"/>
        <v>0</v>
      </c>
      <c r="R275" s="418"/>
      <c r="S275" s="400"/>
      <c r="T275" s="400"/>
      <c r="U275" s="400"/>
      <c r="V275" s="400"/>
      <c r="W275" s="400"/>
      <c r="X275" s="400"/>
      <c r="Y275" s="400"/>
      <c r="Z275" s="400"/>
      <c r="AA275" s="400"/>
      <c r="AB275" s="400"/>
      <c r="AC275" s="400"/>
      <c r="AD275" s="400"/>
      <c r="AE275" s="400"/>
      <c r="AF275" s="400"/>
      <c r="AG275" s="400"/>
      <c r="AH275" s="400"/>
      <c r="AI275" s="400"/>
      <c r="AJ275" s="400"/>
      <c r="AK275" s="400"/>
      <c r="AL275" s="400"/>
      <c r="AM275" s="400"/>
      <c r="AN275" s="400"/>
      <c r="AO275" s="400"/>
    </row>
    <row r="276" spans="1:41" s="396" customFormat="1" ht="23.25" customHeight="1">
      <c r="A276" s="501" t="s">
        <v>943</v>
      </c>
      <c r="B276" s="518"/>
      <c r="C276" s="518"/>
      <c r="D276" s="518"/>
      <c r="E276" s="518"/>
      <c r="F276" s="518"/>
      <c r="G276" s="518"/>
      <c r="H276" s="518"/>
      <c r="I276" s="407"/>
      <c r="P276" s="409"/>
      <c r="Q276" s="383">
        <f t="shared" si="65"/>
        <v>0</v>
      </c>
      <c r="R276" s="419"/>
    </row>
    <row r="277" spans="1:41" s="396" customFormat="1" ht="13.5" customHeight="1">
      <c r="I277" s="407"/>
      <c r="Q277" s="383">
        <f t="shared" si="65"/>
        <v>0</v>
      </c>
      <c r="R277" s="419"/>
    </row>
    <row r="278" spans="1:41" s="396" customFormat="1">
      <c r="B278" s="398"/>
      <c r="C278" s="398"/>
      <c r="D278" s="399"/>
      <c r="E278" s="398"/>
      <c r="F278" s="399"/>
      <c r="G278" s="399"/>
      <c r="H278" s="402" t="s">
        <v>1007</v>
      </c>
      <c r="I278" s="423"/>
      <c r="Q278" s="383">
        <f t="shared" si="65"/>
        <v>0</v>
      </c>
      <c r="R278" s="419"/>
    </row>
    <row r="279" spans="1:41" ht="18">
      <c r="A279" s="344" t="s">
        <v>944</v>
      </c>
      <c r="B279" s="345"/>
      <c r="C279" s="345"/>
      <c r="D279" s="345"/>
      <c r="E279" s="345"/>
      <c r="F279" s="345"/>
      <c r="G279" s="345"/>
      <c r="H279" s="345"/>
      <c r="Q279" s="383">
        <f t="shared" si="65"/>
        <v>0</v>
      </c>
    </row>
    <row r="280" spans="1:41">
      <c r="A280" s="350"/>
      <c r="B280" s="346"/>
      <c r="C280" s="346"/>
      <c r="D280" s="346"/>
      <c r="E280" s="346"/>
      <c r="F280" s="346"/>
      <c r="G280" s="346"/>
      <c r="H280" s="346"/>
      <c r="Q280" s="383">
        <f t="shared" si="65"/>
        <v>0</v>
      </c>
    </row>
    <row r="281" spans="1:41" ht="15.75">
      <c r="A281" s="352" t="s">
        <v>906</v>
      </c>
      <c r="B281" s="346"/>
      <c r="C281" s="346"/>
      <c r="D281" s="346"/>
      <c r="E281" s="346"/>
      <c r="F281" s="346"/>
      <c r="G281" s="346"/>
      <c r="H281" s="346"/>
      <c r="Q281" s="383">
        <f t="shared" si="65"/>
        <v>0</v>
      </c>
    </row>
    <row r="282" spans="1:41" ht="15.75">
      <c r="A282" s="352" t="s">
        <v>959</v>
      </c>
      <c r="B282" s="346"/>
      <c r="C282" s="346"/>
      <c r="D282" s="346"/>
      <c r="E282" s="346"/>
      <c r="F282" s="346"/>
      <c r="G282" s="346"/>
      <c r="H282" s="346"/>
      <c r="Q282" s="383">
        <f t="shared" si="65"/>
        <v>0</v>
      </c>
    </row>
    <row r="283" spans="1:41">
      <c r="A283" s="355"/>
      <c r="B283" s="356"/>
      <c r="C283" s="356"/>
      <c r="D283" s="356"/>
      <c r="E283" s="356"/>
      <c r="F283" s="356"/>
      <c r="G283" s="356"/>
      <c r="H283" s="356"/>
      <c r="Q283" s="383">
        <f t="shared" si="65"/>
        <v>0</v>
      </c>
    </row>
    <row r="284" spans="1:41">
      <c r="A284" s="360"/>
      <c r="B284" s="361" t="s">
        <v>908</v>
      </c>
      <c r="C284" s="361"/>
      <c r="D284" s="361"/>
      <c r="E284" s="361"/>
      <c r="F284" s="361"/>
      <c r="G284" s="361"/>
      <c r="H284" s="362"/>
      <c r="Q284" s="383">
        <f t="shared" si="65"/>
        <v>0</v>
      </c>
    </row>
    <row r="285" spans="1:41">
      <c r="A285" s="360"/>
      <c r="B285" s="361" t="s">
        <v>909</v>
      </c>
      <c r="C285" s="361"/>
      <c r="D285" s="506" t="s">
        <v>910</v>
      </c>
      <c r="E285" s="504"/>
      <c r="F285" s="504"/>
      <c r="G285" s="504"/>
      <c r="H285" s="368" t="s">
        <v>800</v>
      </c>
      <c r="Q285" s="383">
        <f t="shared" si="65"/>
        <v>0</v>
      </c>
    </row>
    <row r="286" spans="1:41" ht="36">
      <c r="A286" s="360"/>
      <c r="B286" s="369" t="s">
        <v>911</v>
      </c>
      <c r="C286" s="370" t="s">
        <v>912</v>
      </c>
      <c r="D286" s="371" t="s">
        <v>913</v>
      </c>
      <c r="E286" s="372" t="s">
        <v>10</v>
      </c>
      <c r="F286" s="369" t="s">
        <v>914</v>
      </c>
      <c r="G286" s="373" t="s">
        <v>924</v>
      </c>
      <c r="H286" s="374" t="s">
        <v>916</v>
      </c>
      <c r="Q286" s="383">
        <f t="shared" si="65"/>
        <v>0</v>
      </c>
    </row>
    <row r="287" spans="1:41" ht="15.75" customHeight="1">
      <c r="A287" s="404" t="s">
        <v>885</v>
      </c>
      <c r="B287" s="378">
        <f>('Pivot Table for Data Exchange'!$L$6)*100</f>
        <v>61.736578252724797</v>
      </c>
      <c r="C287" s="378">
        <f>('Pivot Table for Data Exchange'!$L$9)*100</f>
        <v>6.2923088385558588</v>
      </c>
      <c r="D287" s="379">
        <f>SUM(E287:G287)</f>
        <v>31.971112908719348</v>
      </c>
      <c r="E287" s="378">
        <f>('Pivot Table for Data Exchange'!$L$12)*100</f>
        <v>31.541638283378749</v>
      </c>
      <c r="F287" s="378">
        <f>('Pivot Table for Data Exchange'!$L$15)*100</f>
        <v>0.42947462534059944</v>
      </c>
      <c r="G287" s="382">
        <f>('Pivot Table for Data Exchange'!$L$18)*100</f>
        <v>0</v>
      </c>
      <c r="H287" s="378">
        <f>('Pivot Table for Data Exchange'!$L$21)*100</f>
        <v>0</v>
      </c>
      <c r="I287" s="349"/>
      <c r="J287" s="417"/>
      <c r="K287" s="417"/>
      <c r="L287" s="417"/>
      <c r="M287" s="417"/>
      <c r="N287" s="417"/>
      <c r="O287" s="417"/>
      <c r="P287" s="417"/>
      <c r="Q287" s="383">
        <f t="shared" si="65"/>
        <v>100</v>
      </c>
      <c r="R287" s="383"/>
      <c r="S287" s="384"/>
      <c r="T287" s="384"/>
      <c r="U287" s="384"/>
      <c r="V287" s="384"/>
      <c r="W287" s="384"/>
      <c r="X287" s="384"/>
      <c r="Y287" s="384"/>
      <c r="Z287" s="384"/>
      <c r="AA287" s="384"/>
      <c r="AB287" s="384"/>
      <c r="AC287" s="384"/>
      <c r="AD287" s="384"/>
      <c r="AE287" s="384"/>
      <c r="AF287" s="384"/>
      <c r="AG287" s="384"/>
      <c r="AH287" s="384"/>
      <c r="AI287" s="384"/>
      <c r="AJ287" s="384"/>
      <c r="AK287" s="384"/>
      <c r="AL287" s="384"/>
      <c r="AM287" s="384"/>
      <c r="AN287" s="384"/>
      <c r="AO287" s="384"/>
    </row>
    <row r="288" spans="1:41" ht="15.75" customHeight="1">
      <c r="A288" s="349" t="s">
        <v>886</v>
      </c>
      <c r="B288" s="378">
        <f>('Pivot Table for Data Exchange'!$L$42)*100</f>
        <v>61.722520889548015</v>
      </c>
      <c r="C288" s="378">
        <f>('Pivot Table for Data Exchange'!$L$45)*100</f>
        <v>6.837078690257953</v>
      </c>
      <c r="D288" s="379">
        <f t="shared" ref="D288:D290" si="67">SUM(E288:G288)</f>
        <v>31.440400420194027</v>
      </c>
      <c r="E288" s="378">
        <f>('Pivot Table for Data Exchange'!$L$48)*100</f>
        <v>31.423235631355261</v>
      </c>
      <c r="F288" s="390">
        <f>('Pivot Table for Data Exchange'!$L$51)*100</f>
        <v>1.7164788838767708E-2</v>
      </c>
      <c r="G288" s="386">
        <f>('Pivot Table for Data Exchange'!$L$54)*100</f>
        <v>0</v>
      </c>
      <c r="H288" s="378">
        <f>('Pivot Table for Data Exchange'!$L$57)*100</f>
        <v>0</v>
      </c>
      <c r="I288" s="349"/>
      <c r="J288" s="417"/>
      <c r="K288" s="417"/>
      <c r="L288" s="417"/>
      <c r="M288" s="417"/>
      <c r="N288" s="417"/>
      <c r="O288" s="417"/>
      <c r="P288" s="417"/>
      <c r="Q288" s="383">
        <f t="shared" si="65"/>
        <v>99.999999999999986</v>
      </c>
      <c r="R288" s="383"/>
      <c r="S288" s="384"/>
      <c r="T288" s="384"/>
      <c r="U288" s="384"/>
      <c r="V288" s="384"/>
      <c r="W288" s="384"/>
      <c r="X288" s="384"/>
      <c r="Y288" s="384"/>
      <c r="Z288" s="384"/>
      <c r="AA288" s="384"/>
      <c r="AB288" s="384"/>
      <c r="AC288" s="384"/>
      <c r="AD288" s="384"/>
      <c r="AE288" s="384"/>
      <c r="AF288" s="384"/>
      <c r="AG288" s="384"/>
      <c r="AH288" s="384"/>
      <c r="AI288" s="384"/>
      <c r="AJ288" s="384"/>
      <c r="AK288" s="384"/>
      <c r="AL288" s="384"/>
      <c r="AM288" s="384"/>
      <c r="AN288" s="384"/>
      <c r="AO288" s="384"/>
    </row>
    <row r="289" spans="1:41" ht="15.75" customHeight="1">
      <c r="A289" s="349" t="s">
        <v>887</v>
      </c>
      <c r="B289" s="378">
        <f>('Pivot Table for Data Exchange'!$L$78)*100</f>
        <v>0</v>
      </c>
      <c r="C289" s="378">
        <f>('Pivot Table for Data Exchange'!$L$81)*100</f>
        <v>0</v>
      </c>
      <c r="D289" s="379">
        <f t="shared" si="67"/>
        <v>0</v>
      </c>
      <c r="E289" s="378">
        <f>('Pivot Table for Data Exchange'!$L$84)*100</f>
        <v>0</v>
      </c>
      <c r="F289" s="378">
        <f>('Pivot Table for Data Exchange'!$L$87)*100</f>
        <v>0</v>
      </c>
      <c r="G289" s="386">
        <f>('Pivot Table for Data Exchange'!$L$90)*100</f>
        <v>0</v>
      </c>
      <c r="H289" s="378">
        <f>('Pivot Table for Data Exchange'!$L$93)*100</f>
        <v>0</v>
      </c>
      <c r="I289" s="349"/>
      <c r="J289" s="417"/>
      <c r="K289" s="417"/>
      <c r="L289" s="417"/>
      <c r="M289" s="417"/>
      <c r="N289" s="417"/>
      <c r="O289" s="417"/>
      <c r="P289" s="417"/>
      <c r="Q289" s="383">
        <f t="shared" si="65"/>
        <v>0</v>
      </c>
      <c r="R289" s="383"/>
      <c r="S289" s="384"/>
      <c r="T289" s="358"/>
      <c r="U289" s="384"/>
      <c r="V289" s="384"/>
      <c r="W289" s="384"/>
      <c r="X289" s="384"/>
      <c r="Y289" s="384"/>
      <c r="Z289" s="384"/>
      <c r="AA289" s="384"/>
      <c r="AB289" s="384"/>
      <c r="AC289" s="384"/>
      <c r="AD289" s="384"/>
      <c r="AE289" s="384"/>
      <c r="AF289" s="384"/>
      <c r="AG289" s="384"/>
      <c r="AH289" s="384"/>
      <c r="AI289" s="384"/>
      <c r="AJ289" s="384"/>
      <c r="AK289" s="384"/>
      <c r="AL289" s="384"/>
      <c r="AM289" s="384"/>
      <c r="AN289" s="384"/>
      <c r="AO289" s="384"/>
    </row>
    <row r="290" spans="1:41" ht="15.75" customHeight="1">
      <c r="A290" s="349" t="s">
        <v>925</v>
      </c>
      <c r="B290" s="378">
        <f>('Pivot Table for Data Exchange'!$L$114)*100</f>
        <v>71.539916420836221</v>
      </c>
      <c r="C290" s="378">
        <f>('Pivot Table for Data Exchange'!$L$117)*100</f>
        <v>3.7155015802702631</v>
      </c>
      <c r="D290" s="379">
        <f t="shared" si="67"/>
        <v>24.744581998893523</v>
      </c>
      <c r="E290" s="378">
        <f>('Pivot Table for Data Exchange'!$L$120)*100</f>
        <v>24.595265123598001</v>
      </c>
      <c r="F290" s="378">
        <f>('Pivot Table for Data Exchange'!$L$123)*100</f>
        <v>0</v>
      </c>
      <c r="G290" s="385">
        <f>('Pivot Table for Data Exchange'!$L$126)*100</f>
        <v>0.14931687529552298</v>
      </c>
      <c r="H290" s="390">
        <f>('Pivot Table for Data Exchange'!$L$129)*100</f>
        <v>0</v>
      </c>
      <c r="I290" s="349"/>
      <c r="J290" s="417"/>
      <c r="K290" s="417"/>
      <c r="L290" s="417"/>
      <c r="M290" s="417"/>
      <c r="N290" s="417"/>
      <c r="O290" s="417"/>
      <c r="P290" s="417"/>
      <c r="Q290" s="383">
        <f t="shared" si="65"/>
        <v>100</v>
      </c>
      <c r="R290" s="383"/>
      <c r="S290" s="384"/>
      <c r="U290" s="384"/>
      <c r="V290" s="384"/>
      <c r="W290" s="384"/>
      <c r="X290" s="384"/>
      <c r="Y290" s="384"/>
      <c r="Z290" s="384"/>
      <c r="AA290" s="384"/>
      <c r="AB290" s="384"/>
      <c r="AC290" s="384"/>
      <c r="AD290" s="384"/>
      <c r="AE290" s="384"/>
      <c r="AF290" s="384"/>
      <c r="AG290" s="384"/>
      <c r="AH290" s="384"/>
      <c r="AI290" s="384"/>
      <c r="AJ290" s="384"/>
      <c r="AK290" s="384"/>
      <c r="AL290" s="384"/>
      <c r="AM290" s="384"/>
      <c r="AN290" s="384"/>
      <c r="AO290" s="384"/>
    </row>
    <row r="291" spans="1:41" ht="15.75" customHeight="1">
      <c r="B291" s="378"/>
      <c r="C291" s="378"/>
      <c r="D291" s="379"/>
      <c r="E291" s="378"/>
      <c r="F291" s="378"/>
      <c r="G291" s="386"/>
      <c r="H291" s="378"/>
      <c r="I291" s="349"/>
      <c r="J291" s="417"/>
      <c r="K291" s="417"/>
      <c r="L291" s="417"/>
      <c r="M291" s="417"/>
      <c r="N291" s="417"/>
      <c r="O291" s="417"/>
      <c r="P291" s="417"/>
      <c r="Q291" s="383">
        <f t="shared" si="65"/>
        <v>0</v>
      </c>
      <c r="R291" s="383"/>
      <c r="S291" s="384"/>
      <c r="U291" s="384"/>
      <c r="V291" s="384"/>
      <c r="W291" s="384"/>
      <c r="X291" s="384"/>
      <c r="Y291" s="384"/>
      <c r="Z291" s="384"/>
      <c r="AA291" s="384"/>
      <c r="AB291" s="384"/>
      <c r="AC291" s="384"/>
      <c r="AD291" s="384"/>
      <c r="AE291" s="384"/>
      <c r="AF291" s="384"/>
      <c r="AG291" s="384"/>
      <c r="AH291" s="384"/>
      <c r="AI291" s="384"/>
      <c r="AJ291" s="384"/>
      <c r="AK291" s="384"/>
      <c r="AL291" s="384"/>
      <c r="AM291" s="384"/>
      <c r="AN291" s="384"/>
      <c r="AO291" s="384"/>
    </row>
    <row r="292" spans="1:41" ht="15.75" customHeight="1">
      <c r="A292" s="349" t="s">
        <v>889</v>
      </c>
      <c r="B292" s="378">
        <f>('Pivot Table for Data Exchange'!$L$150)*100</f>
        <v>0</v>
      </c>
      <c r="C292" s="378">
        <f>('Pivot Table for Data Exchange'!$L$153)*100</f>
        <v>0</v>
      </c>
      <c r="D292" s="379">
        <f t="shared" ref="D292:D295" si="68">SUM(E292:G292)</f>
        <v>0</v>
      </c>
      <c r="E292" s="378">
        <f>('Pivot Table for Data Exchange'!$L$156)*100</f>
        <v>0</v>
      </c>
      <c r="F292" s="378">
        <f>('Pivot Table for Data Exchange'!$L$159)*100</f>
        <v>0</v>
      </c>
      <c r="G292" s="386">
        <f>('Pivot Table for Data Exchange'!$L$162)*100</f>
        <v>0</v>
      </c>
      <c r="H292" s="378">
        <f>('Pivot Table for Data Exchange'!$L$165)*100</f>
        <v>0</v>
      </c>
      <c r="I292" s="349"/>
      <c r="J292" s="417"/>
      <c r="K292" s="417"/>
      <c r="L292" s="417"/>
      <c r="M292" s="417"/>
      <c r="N292" s="417"/>
      <c r="O292" s="417"/>
      <c r="P292" s="417"/>
      <c r="Q292" s="383">
        <f t="shared" si="65"/>
        <v>0</v>
      </c>
      <c r="R292" s="383"/>
      <c r="S292" s="384"/>
      <c r="T292" s="384"/>
      <c r="U292" s="384"/>
      <c r="V292" s="384"/>
      <c r="W292" s="384"/>
      <c r="X292" s="384"/>
      <c r="Y292" s="384"/>
      <c r="Z292" s="384"/>
      <c r="AA292" s="384"/>
      <c r="AB292" s="384"/>
      <c r="AC292" s="384"/>
      <c r="AD292" s="384"/>
      <c r="AE292" s="384"/>
      <c r="AF292" s="384"/>
      <c r="AG292" s="384"/>
      <c r="AH292" s="384"/>
      <c r="AI292" s="384"/>
      <c r="AJ292" s="384"/>
      <c r="AK292" s="384"/>
      <c r="AL292" s="384"/>
      <c r="AM292" s="384"/>
      <c r="AN292" s="384"/>
      <c r="AO292" s="384"/>
    </row>
    <row r="293" spans="1:41" ht="15.75" customHeight="1">
      <c r="A293" s="349" t="s">
        <v>890</v>
      </c>
      <c r="B293" s="378">
        <f>('Pivot Table for Data Exchange'!$L$186)*100</f>
        <v>56.834072896093566</v>
      </c>
      <c r="C293" s="378">
        <f>('Pivot Table for Data Exchange'!$L$189)*100</f>
        <v>11.535640085156592</v>
      </c>
      <c r="D293" s="379">
        <f t="shared" si="68"/>
        <v>31.630287018749843</v>
      </c>
      <c r="E293" s="378">
        <f>('Pivot Table for Data Exchange'!$L$192)*100</f>
        <v>31.630287018749843</v>
      </c>
      <c r="F293" s="390">
        <f>('Pivot Table for Data Exchange'!$L$195)*100</f>
        <v>0</v>
      </c>
      <c r="G293" s="385">
        <f>('Pivot Table for Data Exchange'!$L$198)*100</f>
        <v>0</v>
      </c>
      <c r="H293" s="378">
        <f>('Pivot Table for Data Exchange'!$L$201)*100</f>
        <v>0</v>
      </c>
      <c r="I293" s="349"/>
      <c r="J293" s="417"/>
      <c r="K293" s="417"/>
      <c r="L293" s="417"/>
      <c r="M293" s="417"/>
      <c r="N293" s="417"/>
      <c r="O293" s="417"/>
      <c r="P293" s="417"/>
      <c r="Q293" s="383">
        <f t="shared" si="65"/>
        <v>100</v>
      </c>
      <c r="R293" s="383"/>
      <c r="S293" s="384"/>
      <c r="T293" s="384"/>
      <c r="U293" s="384"/>
      <c r="V293" s="384"/>
      <c r="W293" s="384"/>
      <c r="X293" s="384"/>
      <c r="Y293" s="384"/>
      <c r="Z293" s="384"/>
      <c r="AA293" s="384"/>
      <c r="AB293" s="384"/>
      <c r="AC293" s="384"/>
      <c r="AD293" s="384"/>
      <c r="AE293" s="384"/>
      <c r="AF293" s="384"/>
      <c r="AG293" s="384"/>
      <c r="AH293" s="384"/>
      <c r="AI293" s="384"/>
      <c r="AJ293" s="384"/>
      <c r="AK293" s="384"/>
      <c r="AL293" s="384"/>
      <c r="AM293" s="384"/>
      <c r="AN293" s="384"/>
      <c r="AO293" s="384"/>
    </row>
    <row r="294" spans="1:41" ht="15.75" customHeight="1">
      <c r="A294" s="349" t="s">
        <v>891</v>
      </c>
      <c r="B294" s="378">
        <f>('Pivot Table for Data Exchange'!$L$222)*100</f>
        <v>84.42167969294799</v>
      </c>
      <c r="C294" s="378">
        <f>('Pivot Table for Data Exchange'!$L$225)*100</f>
        <v>0</v>
      </c>
      <c r="D294" s="379">
        <f t="shared" si="68"/>
        <v>15.578320307052007</v>
      </c>
      <c r="E294" s="378">
        <f>('Pivot Table for Data Exchange'!$L$228)*100</f>
        <v>15.578320307052007</v>
      </c>
      <c r="F294" s="378">
        <f>('Pivot Table for Data Exchange'!$L$231)*100</f>
        <v>0</v>
      </c>
      <c r="G294" s="386">
        <f>('Pivot Table for Data Exchange'!$L$234)*100</f>
        <v>0</v>
      </c>
      <c r="H294" s="378">
        <f>('Pivot Table for Data Exchange'!$L$237)*100</f>
        <v>0</v>
      </c>
      <c r="I294" s="349"/>
      <c r="J294" s="417"/>
      <c r="K294" s="417"/>
      <c r="L294" s="417"/>
      <c r="M294" s="417"/>
      <c r="N294" s="417"/>
      <c r="O294" s="417"/>
      <c r="P294" s="417"/>
      <c r="Q294" s="383">
        <f t="shared" si="65"/>
        <v>100</v>
      </c>
      <c r="R294" s="383"/>
      <c r="S294" s="384"/>
      <c r="T294" s="358"/>
      <c r="U294" s="384"/>
      <c r="V294" s="384"/>
      <c r="W294" s="384"/>
      <c r="X294" s="384"/>
      <c r="Y294" s="384"/>
      <c r="Z294" s="384"/>
      <c r="AA294" s="384"/>
      <c r="AB294" s="384"/>
      <c r="AC294" s="384"/>
      <c r="AD294" s="384"/>
      <c r="AE294" s="384"/>
      <c r="AF294" s="384"/>
      <c r="AG294" s="384"/>
      <c r="AH294" s="384"/>
      <c r="AI294" s="384"/>
      <c r="AJ294" s="384"/>
      <c r="AK294" s="384"/>
      <c r="AL294" s="384"/>
      <c r="AM294" s="384"/>
      <c r="AN294" s="384"/>
      <c r="AO294" s="384"/>
    </row>
    <row r="295" spans="1:41" ht="15.75" customHeight="1">
      <c r="A295" s="349" t="s">
        <v>892</v>
      </c>
      <c r="B295" s="378">
        <f>('Pivot Table for Data Exchange'!$L$258)*100</f>
        <v>68.461453458639468</v>
      </c>
      <c r="C295" s="378">
        <f>('Pivot Table for Data Exchange'!$L$261)*100</f>
        <v>14.948076077989963</v>
      </c>
      <c r="D295" s="379">
        <f t="shared" si="68"/>
        <v>16.590470463370572</v>
      </c>
      <c r="E295" s="378">
        <f>('Pivot Table for Data Exchange'!$L$264)*100</f>
        <v>16.56004337915385</v>
      </c>
      <c r="F295" s="378">
        <f>('Pivot Table for Data Exchange'!$L$267)*100</f>
        <v>3.042708421672102E-2</v>
      </c>
      <c r="G295" s="385">
        <f>('Pivot Table for Data Exchange'!$L$270)*100</f>
        <v>0</v>
      </c>
      <c r="H295" s="378">
        <f>('Pivot Table for Data Exchange'!$L$273)*100</f>
        <v>0</v>
      </c>
      <c r="I295" s="349"/>
      <c r="J295" s="417"/>
      <c r="K295" s="417"/>
      <c r="L295" s="417"/>
      <c r="M295" s="417"/>
      <c r="N295" s="417"/>
      <c r="O295" s="417"/>
      <c r="P295" s="417"/>
      <c r="Q295" s="383">
        <f t="shared" si="65"/>
        <v>100</v>
      </c>
      <c r="R295" s="383"/>
      <c r="S295" s="384"/>
      <c r="U295" s="384"/>
      <c r="V295" s="384"/>
      <c r="W295" s="384"/>
      <c r="X295" s="384"/>
      <c r="Y295" s="384"/>
      <c r="Z295" s="384"/>
      <c r="AA295" s="384"/>
      <c r="AB295" s="384"/>
      <c r="AC295" s="384"/>
      <c r="AD295" s="384"/>
      <c r="AE295" s="384"/>
      <c r="AF295" s="384"/>
      <c r="AG295" s="384"/>
      <c r="AH295" s="384"/>
      <c r="AI295" s="384"/>
      <c r="AJ295" s="384"/>
      <c r="AK295" s="384"/>
      <c r="AL295" s="384"/>
      <c r="AM295" s="384"/>
      <c r="AN295" s="384"/>
      <c r="AO295" s="384"/>
    </row>
    <row r="296" spans="1:41" ht="9.75" customHeight="1">
      <c r="B296" s="378"/>
      <c r="C296" s="378"/>
      <c r="D296" s="379"/>
      <c r="E296" s="378"/>
      <c r="F296" s="378"/>
      <c r="G296" s="386"/>
      <c r="H296" s="378"/>
      <c r="I296" s="349"/>
      <c r="J296" s="417"/>
      <c r="K296" s="417"/>
      <c r="L296" s="417"/>
      <c r="M296" s="417"/>
      <c r="N296" s="417"/>
      <c r="O296" s="417"/>
      <c r="P296" s="417"/>
      <c r="Q296" s="383">
        <f t="shared" si="65"/>
        <v>0</v>
      </c>
      <c r="R296" s="383"/>
      <c r="S296" s="384"/>
      <c r="U296" s="384"/>
      <c r="V296" s="384"/>
      <c r="W296" s="384"/>
      <c r="X296" s="384"/>
      <c r="Y296" s="384"/>
      <c r="Z296" s="384"/>
      <c r="AA296" s="384"/>
      <c r="AB296" s="384"/>
      <c r="AC296" s="384"/>
      <c r="AD296" s="384"/>
      <c r="AE296" s="384"/>
      <c r="AF296" s="384"/>
      <c r="AG296" s="384"/>
      <c r="AH296" s="384"/>
      <c r="AI296" s="384"/>
      <c r="AJ296" s="384"/>
      <c r="AK296" s="384"/>
      <c r="AL296" s="384"/>
      <c r="AM296" s="384"/>
      <c r="AN296" s="384"/>
      <c r="AO296" s="384"/>
    </row>
    <row r="297" spans="1:41" ht="15.75" customHeight="1">
      <c r="A297" s="349" t="s">
        <v>940</v>
      </c>
      <c r="B297" s="378">
        <f>('Pivot Table for Data Exchange'!$L$294)*100</f>
        <v>69.783301171313795</v>
      </c>
      <c r="C297" s="378">
        <f>('Pivot Table for Data Exchange'!$L$297)*100</f>
        <v>3.0210150872611439</v>
      </c>
      <c r="D297" s="379">
        <f t="shared" ref="D297:D299" si="69">SUM(E297:G297)</f>
        <v>27.195683741425064</v>
      </c>
      <c r="E297" s="378">
        <f>('Pivot Table for Data Exchange'!$L$300)*100</f>
        <v>27.195683741425064</v>
      </c>
      <c r="F297" s="378">
        <f>('Pivot Table for Data Exchange'!$L$303)*100</f>
        <v>0</v>
      </c>
      <c r="G297" s="386">
        <f>('Pivot Table for Data Exchange'!$L$306)*100</f>
        <v>0</v>
      </c>
      <c r="H297" s="378">
        <f>('Pivot Table for Data Exchange'!$L$309)*100</f>
        <v>0</v>
      </c>
      <c r="I297" s="424"/>
      <c r="J297" s="417"/>
      <c r="K297" s="417"/>
      <c r="L297" s="417"/>
      <c r="M297" s="417"/>
      <c r="N297" s="417"/>
      <c r="O297" s="417"/>
      <c r="P297" s="417"/>
      <c r="Q297" s="383">
        <f t="shared" si="65"/>
        <v>100</v>
      </c>
      <c r="R297" s="383"/>
      <c r="S297" s="384"/>
      <c r="T297" s="384"/>
      <c r="U297" s="384"/>
      <c r="V297" s="384"/>
      <c r="W297" s="384"/>
      <c r="X297" s="384"/>
      <c r="Y297" s="384"/>
      <c r="Z297" s="384"/>
      <c r="AA297" s="384"/>
      <c r="AB297" s="384"/>
      <c r="AC297" s="384"/>
      <c r="AD297" s="384"/>
      <c r="AE297" s="384"/>
      <c r="AF297" s="384"/>
      <c r="AG297" s="384"/>
      <c r="AH297" s="384"/>
      <c r="AI297" s="384"/>
      <c r="AJ297" s="384"/>
      <c r="AK297" s="384"/>
      <c r="AL297" s="384"/>
      <c r="AM297" s="384"/>
      <c r="AN297" s="384"/>
      <c r="AO297" s="384"/>
    </row>
    <row r="298" spans="1:41" ht="15.75" customHeight="1">
      <c r="A298" s="349" t="s">
        <v>894</v>
      </c>
      <c r="B298" s="378">
        <f>('Pivot Table for Data Exchange'!$L$330)*100</f>
        <v>42.367662273670845</v>
      </c>
      <c r="C298" s="378">
        <f>('Pivot Table for Data Exchange'!$L$333)*100</f>
        <v>1.818601988734841</v>
      </c>
      <c r="D298" s="379">
        <f t="shared" si="69"/>
        <v>55.813735737594307</v>
      </c>
      <c r="E298" s="378">
        <f>('Pivot Table for Data Exchange'!$L$336)*100</f>
        <v>55.634173195509341</v>
      </c>
      <c r="F298" s="378">
        <f>('Pivot Table for Data Exchange'!$L$339)*100</f>
        <v>0.14430081507050352</v>
      </c>
      <c r="G298" s="386">
        <f>('Pivot Table for Data Exchange'!$L$342)*100</f>
        <v>3.5261727014467267E-2</v>
      </c>
      <c r="H298" s="378">
        <f>('Pivot Table for Data Exchange'!$L$345)*100</f>
        <v>0</v>
      </c>
      <c r="I298" s="349"/>
      <c r="J298" s="417"/>
      <c r="K298" s="417"/>
      <c r="L298" s="417"/>
      <c r="M298" s="417"/>
      <c r="N298" s="417"/>
      <c r="O298" s="417"/>
      <c r="P298" s="417"/>
      <c r="Q298" s="383">
        <f t="shared" si="65"/>
        <v>100</v>
      </c>
      <c r="R298" s="383"/>
      <c r="S298" s="384"/>
      <c r="T298" s="384"/>
      <c r="U298" s="384"/>
      <c r="V298" s="384"/>
      <c r="W298" s="384"/>
      <c r="X298" s="384"/>
      <c r="Y298" s="384"/>
      <c r="Z298" s="384"/>
      <c r="AA298" s="384"/>
      <c r="AB298" s="384"/>
      <c r="AC298" s="384"/>
      <c r="AD298" s="384"/>
      <c r="AE298" s="384"/>
      <c r="AF298" s="384"/>
      <c r="AG298" s="384"/>
      <c r="AH298" s="384"/>
      <c r="AI298" s="384"/>
      <c r="AJ298" s="384"/>
      <c r="AK298" s="384"/>
      <c r="AL298" s="384"/>
      <c r="AM298" s="384"/>
      <c r="AN298" s="384"/>
      <c r="AO298" s="384"/>
    </row>
    <row r="299" spans="1:41" ht="15.75" customHeight="1">
      <c r="A299" s="349" t="s">
        <v>895</v>
      </c>
      <c r="B299" s="378">
        <f>('Pivot Table for Data Exchange'!$L$366)*100</f>
        <v>65.693007215073777</v>
      </c>
      <c r="C299" s="378">
        <f>('Pivot Table for Data Exchange'!$L$369)*100</f>
        <v>4.1252055683977291</v>
      </c>
      <c r="D299" s="379">
        <f t="shared" si="69"/>
        <v>30.181787216528495</v>
      </c>
      <c r="E299" s="378">
        <f>('Pivot Table for Data Exchange'!$L$372)*100</f>
        <v>30.073924790794791</v>
      </c>
      <c r="F299" s="378">
        <f>('Pivot Table for Data Exchange'!$L$375)*100</f>
        <v>0</v>
      </c>
      <c r="G299" s="386">
        <f>('Pivot Table for Data Exchange'!$L$378)*100</f>
        <v>0.107862425733704</v>
      </c>
      <c r="H299" s="390">
        <f>('Pivot Table for Data Exchange'!$L$381)*100</f>
        <v>0</v>
      </c>
      <c r="I299" s="349"/>
      <c r="J299" s="417"/>
      <c r="K299" s="417"/>
      <c r="L299" s="417"/>
      <c r="M299" s="417"/>
      <c r="N299" s="417"/>
      <c r="O299" s="417"/>
      <c r="P299" s="417"/>
      <c r="Q299" s="383">
        <f t="shared" si="65"/>
        <v>100</v>
      </c>
      <c r="R299" s="383"/>
      <c r="S299" s="384"/>
      <c r="T299" s="358"/>
      <c r="U299" s="384"/>
      <c r="V299" s="384"/>
      <c r="W299" s="384"/>
      <c r="X299" s="384"/>
      <c r="Y299" s="384"/>
      <c r="Z299" s="384"/>
      <c r="AA299" s="384"/>
      <c r="AB299" s="384"/>
      <c r="AC299" s="384"/>
      <c r="AD299" s="384"/>
      <c r="AE299" s="384"/>
      <c r="AF299" s="384"/>
      <c r="AG299" s="384"/>
      <c r="AH299" s="384"/>
      <c r="AI299" s="384"/>
      <c r="AJ299" s="384"/>
      <c r="AK299" s="384"/>
      <c r="AL299" s="384"/>
      <c r="AM299" s="384"/>
      <c r="AN299" s="384"/>
      <c r="AO299" s="384"/>
    </row>
    <row r="300" spans="1:41" ht="15.75" customHeight="1">
      <c r="A300" s="349" t="s">
        <v>896</v>
      </c>
      <c r="B300" s="378">
        <f>('Pivot Table for Data Exchange'!$L$402)*100</f>
        <v>66.326272150435528</v>
      </c>
      <c r="C300" s="378">
        <f>('Pivot Table for Data Exchange'!$L$405)*100</f>
        <v>5.8794272087803181</v>
      </c>
      <c r="D300" s="379">
        <f>SUM(E300:G300)</f>
        <v>27.794300640784158</v>
      </c>
      <c r="E300" s="378">
        <f>('Pivot Table for Data Exchange'!$L$408)*100</f>
        <v>27.794300640784158</v>
      </c>
      <c r="F300" s="378">
        <f>('Pivot Table for Data Exchange'!$L$411)*100</f>
        <v>0</v>
      </c>
      <c r="G300" s="386">
        <f>('Pivot Table for Data Exchange'!$L$414)*100</f>
        <v>0</v>
      </c>
      <c r="H300" s="378">
        <f>('Pivot Table for Data Exchange'!$L$417)*100</f>
        <v>0</v>
      </c>
      <c r="I300" s="349"/>
      <c r="J300" s="417"/>
      <c r="K300" s="417"/>
      <c r="L300" s="417"/>
      <c r="M300" s="417"/>
      <c r="N300" s="417"/>
      <c r="O300" s="417"/>
      <c r="P300" s="417"/>
      <c r="Q300" s="383">
        <f t="shared" si="65"/>
        <v>100</v>
      </c>
      <c r="R300" s="383"/>
      <c r="S300" s="384"/>
      <c r="T300" s="384"/>
      <c r="U300" s="384"/>
      <c r="V300" s="384"/>
      <c r="W300" s="384"/>
      <c r="X300" s="384"/>
      <c r="Y300" s="384"/>
      <c r="Z300" s="384"/>
      <c r="AA300" s="384"/>
      <c r="AB300" s="384"/>
      <c r="AC300" s="384"/>
      <c r="AD300" s="384"/>
      <c r="AE300" s="384"/>
      <c r="AF300" s="384"/>
      <c r="AG300" s="384"/>
      <c r="AH300" s="384"/>
      <c r="AI300" s="384"/>
      <c r="AJ300" s="384"/>
      <c r="AK300" s="384"/>
      <c r="AL300" s="384"/>
      <c r="AM300" s="384"/>
      <c r="AN300" s="384"/>
      <c r="AO300" s="384"/>
    </row>
    <row r="301" spans="1:41" ht="11.25" customHeight="1">
      <c r="B301" s="378"/>
      <c r="C301" s="378"/>
      <c r="D301" s="379"/>
      <c r="E301" s="378"/>
      <c r="F301" s="378"/>
      <c r="G301" s="386"/>
      <c r="H301" s="378"/>
      <c r="I301" s="349"/>
      <c r="J301" s="417"/>
      <c r="K301" s="417"/>
      <c r="L301" s="417"/>
      <c r="M301" s="417"/>
      <c r="N301" s="417"/>
      <c r="O301" s="417"/>
      <c r="P301" s="417"/>
      <c r="Q301" s="383">
        <f t="shared" si="65"/>
        <v>0</v>
      </c>
      <c r="R301" s="383"/>
      <c r="S301" s="384"/>
      <c r="T301" s="384"/>
      <c r="U301" s="384"/>
      <c r="V301" s="384"/>
      <c r="W301" s="384"/>
      <c r="X301" s="384"/>
      <c r="Y301" s="384"/>
      <c r="Z301" s="384"/>
      <c r="AA301" s="384"/>
      <c r="AB301" s="384"/>
      <c r="AC301" s="384"/>
      <c r="AD301" s="384"/>
      <c r="AE301" s="384"/>
      <c r="AF301" s="384"/>
      <c r="AG301" s="384"/>
      <c r="AH301" s="384"/>
      <c r="AI301" s="384"/>
      <c r="AJ301" s="384"/>
      <c r="AK301" s="384"/>
      <c r="AL301" s="384"/>
      <c r="AM301" s="384"/>
      <c r="AN301" s="384"/>
      <c r="AO301" s="384"/>
    </row>
    <row r="302" spans="1:41" ht="15.75" customHeight="1">
      <c r="A302" s="349" t="s">
        <v>897</v>
      </c>
      <c r="B302" s="378">
        <f>('Pivot Table for Data Exchange'!$L$438)*100</f>
        <v>52.919939950577486</v>
      </c>
      <c r="C302" s="378">
        <f>('Pivot Table for Data Exchange'!$L$441)*100</f>
        <v>22.224623997926678</v>
      </c>
      <c r="D302" s="379">
        <f>SUM(E302:G302)</f>
        <v>24.767953572040916</v>
      </c>
      <c r="E302" s="378">
        <f>('Pivot Table for Data Exchange'!$L$444)*100</f>
        <v>20.158996294160687</v>
      </c>
      <c r="F302" s="378">
        <f>('Pivot Table for Data Exchange'!$L$447)*100</f>
        <v>0.11781275693734364</v>
      </c>
      <c r="G302" s="386">
        <f>('Pivot Table for Data Exchange'!$L$450)*100</f>
        <v>4.4911445209428873</v>
      </c>
      <c r="H302" s="378">
        <f>('Pivot Table for Data Exchange'!$L$453)*100</f>
        <v>8.7482479454915121E-2</v>
      </c>
      <c r="I302" s="349"/>
      <c r="J302" s="417"/>
      <c r="K302" s="417"/>
      <c r="L302" s="417"/>
      <c r="M302" s="417"/>
      <c r="N302" s="417"/>
      <c r="O302" s="417"/>
      <c r="P302" s="417"/>
      <c r="Q302" s="383">
        <f t="shared" si="65"/>
        <v>99.999999999999986</v>
      </c>
      <c r="R302" s="383"/>
      <c r="S302" s="384"/>
      <c r="T302" s="384"/>
      <c r="U302" s="384"/>
      <c r="V302" s="384"/>
      <c r="W302" s="384"/>
      <c r="X302" s="384"/>
      <c r="Y302" s="384"/>
      <c r="Z302" s="384"/>
      <c r="AA302" s="384"/>
      <c r="AB302" s="384"/>
      <c r="AC302" s="384"/>
      <c r="AD302" s="384"/>
      <c r="AE302" s="384"/>
      <c r="AF302" s="384"/>
      <c r="AG302" s="384"/>
      <c r="AH302" s="384"/>
      <c r="AI302" s="384"/>
      <c r="AJ302" s="384"/>
      <c r="AK302" s="384"/>
      <c r="AL302" s="384"/>
      <c r="AM302" s="384"/>
      <c r="AN302" s="384"/>
      <c r="AO302" s="384"/>
    </row>
    <row r="303" spans="1:41" ht="15.75" customHeight="1">
      <c r="A303" s="349" t="s">
        <v>898</v>
      </c>
      <c r="B303" s="378">
        <f>('Pivot Table for Data Exchange'!$L$474)*100</f>
        <v>62.720089108186514</v>
      </c>
      <c r="C303" s="378">
        <f>('Pivot Table for Data Exchange'!$L$477)*100</f>
        <v>11.663576779911638</v>
      </c>
      <c r="D303" s="379">
        <f>SUM(E303:G303)</f>
        <v>25.616334111901843</v>
      </c>
      <c r="E303" s="378">
        <f>('Pivot Table for Data Exchange'!$L$480)*100</f>
        <v>25.449435434141115</v>
      </c>
      <c r="F303" s="378">
        <f>('Pivot Table for Data Exchange'!$L$483)*100</f>
        <v>4.1866513905983498E-2</v>
      </c>
      <c r="G303" s="386">
        <f>('Pivot Table for Data Exchange'!$L$486)*100</f>
        <v>0.1250321638547453</v>
      </c>
      <c r="H303" s="378">
        <f>('Pivot Table for Data Exchange'!$L$489)*100</f>
        <v>0</v>
      </c>
      <c r="I303" s="349"/>
      <c r="J303" s="417"/>
      <c r="K303" s="417"/>
      <c r="L303" s="417"/>
      <c r="M303" s="417"/>
      <c r="N303" s="417"/>
      <c r="O303" s="417"/>
      <c r="P303" s="417"/>
      <c r="Q303" s="383">
        <f t="shared" si="65"/>
        <v>100</v>
      </c>
      <c r="R303" s="383"/>
      <c r="S303" s="384"/>
      <c r="T303" s="384"/>
      <c r="U303" s="384"/>
      <c r="V303" s="384"/>
      <c r="W303" s="384"/>
      <c r="X303" s="384"/>
      <c r="Y303" s="384"/>
      <c r="Z303" s="384"/>
      <c r="AA303" s="384"/>
      <c r="AB303" s="384"/>
      <c r="AC303" s="384"/>
      <c r="AD303" s="384"/>
      <c r="AE303" s="384"/>
      <c r="AF303" s="384"/>
      <c r="AG303" s="384"/>
      <c r="AH303" s="384"/>
      <c r="AI303" s="384"/>
      <c r="AJ303" s="384"/>
      <c r="AK303" s="384"/>
      <c r="AL303" s="384"/>
      <c r="AM303" s="384"/>
      <c r="AN303" s="384"/>
      <c r="AO303" s="384"/>
    </row>
    <row r="304" spans="1:41" ht="15.75" customHeight="1">
      <c r="A304" s="349" t="s">
        <v>899</v>
      </c>
      <c r="B304" s="378">
        <f>('Pivot Table for Data Exchange'!$L$510)*100</f>
        <v>65.565847952185294</v>
      </c>
      <c r="C304" s="378">
        <f>('Pivot Table for Data Exchange'!$L$513)*100</f>
        <v>6.7731952981648291</v>
      </c>
      <c r="D304" s="379">
        <f t="shared" ref="D304" si="70">SUM(E304:G304)</f>
        <v>27.66095674964988</v>
      </c>
      <c r="E304" s="378">
        <f>('Pivot Table for Data Exchange'!$L$516)*100</f>
        <v>27.546890645673411</v>
      </c>
      <c r="F304" s="378">
        <f>('Pivot Table for Data Exchange'!$L$519)*100</f>
        <v>0.11406610397646977</v>
      </c>
      <c r="G304" s="386">
        <f>('Pivot Table for Data Exchange'!$L$522)*100</f>
        <v>0</v>
      </c>
      <c r="H304" s="378">
        <f>('Pivot Table for Data Exchange'!$L$525)*100</f>
        <v>0</v>
      </c>
      <c r="I304" s="349"/>
      <c r="J304" s="417"/>
      <c r="K304" s="417"/>
      <c r="L304" s="417"/>
      <c r="M304" s="417"/>
      <c r="N304" s="417"/>
      <c r="O304" s="417"/>
      <c r="P304" s="417"/>
      <c r="Q304" s="383">
        <f t="shared" si="65"/>
        <v>100.00000000000001</v>
      </c>
      <c r="R304" s="383"/>
      <c r="S304" s="384"/>
      <c r="T304" s="384"/>
      <c r="U304" s="384"/>
      <c r="V304" s="384"/>
      <c r="W304" s="384"/>
      <c r="X304" s="384"/>
      <c r="Y304" s="384"/>
      <c r="Z304" s="384"/>
      <c r="AA304" s="384"/>
      <c r="AB304" s="384"/>
      <c r="AC304" s="384"/>
      <c r="AD304" s="384"/>
      <c r="AE304" s="384"/>
      <c r="AF304" s="384"/>
      <c r="AG304" s="384"/>
      <c r="AH304" s="384"/>
      <c r="AI304" s="384"/>
      <c r="AJ304" s="384"/>
      <c r="AK304" s="384"/>
      <c r="AL304" s="384"/>
      <c r="AM304" s="384"/>
      <c r="AN304" s="384"/>
      <c r="AO304" s="384"/>
    </row>
    <row r="305" spans="1:41" ht="15.75" customHeight="1">
      <c r="A305" s="355" t="s">
        <v>900</v>
      </c>
      <c r="B305" s="391">
        <f>('Pivot Table for Data Exchange'!$L$546)*100</f>
        <v>0</v>
      </c>
      <c r="C305" s="391">
        <f>('Pivot Table for Data Exchange'!$L$549)*100</f>
        <v>0</v>
      </c>
      <c r="D305" s="392">
        <f>SUM(E305:G305)</f>
        <v>0</v>
      </c>
      <c r="E305" s="391">
        <f>('Pivot Table for Data Exchange'!$L$552)*100</f>
        <v>0</v>
      </c>
      <c r="F305" s="391">
        <f>('Pivot Table for Data Exchange'!$L$555)*100</f>
        <v>0</v>
      </c>
      <c r="G305" s="393">
        <f>('Pivot Table for Data Exchange'!$L$558)*100</f>
        <v>0</v>
      </c>
      <c r="H305" s="391">
        <f>('Pivot Table for Data Exchange'!$L$561)*100</f>
        <v>0</v>
      </c>
      <c r="I305" s="349"/>
      <c r="J305" s="417"/>
      <c r="K305" s="417"/>
      <c r="L305" s="417"/>
      <c r="M305" s="417"/>
      <c r="N305" s="417"/>
      <c r="O305" s="417"/>
      <c r="P305" s="417"/>
      <c r="Q305" s="383">
        <f t="shared" si="65"/>
        <v>0</v>
      </c>
      <c r="R305" s="383"/>
      <c r="S305" s="384"/>
      <c r="T305" s="384"/>
      <c r="U305" s="384"/>
      <c r="V305" s="384"/>
      <c r="W305" s="384"/>
      <c r="X305" s="384"/>
      <c r="Y305" s="384"/>
      <c r="Z305" s="384"/>
      <c r="AA305" s="384"/>
      <c r="AB305" s="384"/>
      <c r="AC305" s="384"/>
      <c r="AD305" s="384"/>
      <c r="AE305" s="384"/>
      <c r="AF305" s="384"/>
      <c r="AG305" s="384"/>
      <c r="AH305" s="384"/>
      <c r="AI305" s="384"/>
      <c r="AJ305" s="384"/>
      <c r="AK305" s="384"/>
      <c r="AL305" s="384"/>
      <c r="AM305" s="384"/>
      <c r="AN305" s="384"/>
      <c r="AO305" s="384"/>
    </row>
    <row r="306" spans="1:41" s="396" customFormat="1" ht="13.5" customHeight="1">
      <c r="A306" s="397" t="s">
        <v>926</v>
      </c>
      <c r="B306" s="398"/>
      <c r="C306" s="398"/>
      <c r="D306" s="399"/>
      <c r="E306" s="398"/>
      <c r="F306" s="399"/>
      <c r="G306" s="399"/>
      <c r="H306" s="398"/>
      <c r="I306" s="407"/>
      <c r="J306" s="398"/>
      <c r="K306" s="398"/>
      <c r="L306" s="399"/>
      <c r="M306" s="398"/>
      <c r="N306" s="399"/>
      <c r="O306" s="399"/>
      <c r="P306" s="398"/>
      <c r="Q306" s="383">
        <f t="shared" si="65"/>
        <v>0</v>
      </c>
      <c r="R306" s="418"/>
      <c r="S306" s="400"/>
      <c r="T306" s="400"/>
      <c r="U306" s="400"/>
      <c r="V306" s="400"/>
      <c r="W306" s="400"/>
      <c r="X306" s="400"/>
      <c r="Y306" s="400"/>
      <c r="Z306" s="400"/>
      <c r="AA306" s="400"/>
      <c r="AB306" s="400"/>
      <c r="AC306" s="400"/>
      <c r="AD306" s="400"/>
      <c r="AE306" s="400"/>
      <c r="AF306" s="400"/>
      <c r="AG306" s="400"/>
      <c r="AH306" s="400"/>
      <c r="AI306" s="400"/>
      <c r="AJ306" s="400"/>
      <c r="AK306" s="400"/>
      <c r="AL306" s="400"/>
      <c r="AM306" s="400"/>
      <c r="AN306" s="400"/>
      <c r="AO306" s="400"/>
    </row>
    <row r="307" spans="1:41" s="396" customFormat="1" ht="24" customHeight="1">
      <c r="A307" s="501" t="s">
        <v>941</v>
      </c>
      <c r="B307" s="518"/>
      <c r="C307" s="518"/>
      <c r="D307" s="518"/>
      <c r="E307" s="518"/>
      <c r="F307" s="518"/>
      <c r="G307" s="518"/>
      <c r="H307" s="518"/>
      <c r="I307" s="407"/>
      <c r="P307" s="409"/>
      <c r="Q307" s="383">
        <f t="shared" si="65"/>
        <v>0</v>
      </c>
      <c r="R307" s="419"/>
    </row>
    <row r="308" spans="1:41" s="396" customFormat="1" ht="13.5" customHeight="1">
      <c r="A308" s="407"/>
      <c r="I308" s="407"/>
      <c r="Q308" s="383">
        <f t="shared" si="65"/>
        <v>0</v>
      </c>
      <c r="R308" s="419"/>
    </row>
    <row r="309" spans="1:41" s="396" customFormat="1">
      <c r="H309" s="402" t="s">
        <v>1007</v>
      </c>
      <c r="I309" s="423"/>
      <c r="Q309" s="383">
        <f t="shared" si="65"/>
        <v>0</v>
      </c>
      <c r="R309" s="419"/>
    </row>
    <row r="310" spans="1:41" ht="18">
      <c r="A310" s="344" t="s">
        <v>945</v>
      </c>
      <c r="B310" s="345"/>
      <c r="C310" s="345"/>
      <c r="D310" s="345"/>
      <c r="E310" s="345"/>
      <c r="F310" s="345"/>
      <c r="G310" s="345"/>
      <c r="H310" s="345"/>
      <c r="Q310" s="383">
        <f t="shared" si="65"/>
        <v>0</v>
      </c>
    </row>
    <row r="311" spans="1:41">
      <c r="A311" s="350"/>
      <c r="B311" s="346"/>
      <c r="C311" s="346"/>
      <c r="D311" s="346"/>
      <c r="E311" s="346"/>
      <c r="F311" s="346"/>
      <c r="G311" s="346"/>
      <c r="H311" s="346"/>
      <c r="Q311" s="383">
        <f t="shared" si="65"/>
        <v>0</v>
      </c>
    </row>
    <row r="312" spans="1:41" ht="15.75">
      <c r="A312" s="352" t="s">
        <v>906</v>
      </c>
      <c r="B312" s="346"/>
      <c r="C312" s="346"/>
      <c r="D312" s="346"/>
      <c r="E312" s="346"/>
      <c r="F312" s="346"/>
      <c r="G312" s="346"/>
      <c r="H312" s="346"/>
      <c r="Q312" s="383">
        <f t="shared" si="65"/>
        <v>0</v>
      </c>
    </row>
    <row r="313" spans="1:41" ht="15.75">
      <c r="A313" s="352" t="s">
        <v>960</v>
      </c>
      <c r="B313" s="346"/>
      <c r="C313" s="346"/>
      <c r="D313" s="346"/>
      <c r="E313" s="346"/>
      <c r="F313" s="346"/>
      <c r="G313" s="346"/>
      <c r="H313" s="346"/>
      <c r="Q313" s="383">
        <f t="shared" si="65"/>
        <v>0</v>
      </c>
    </row>
    <row r="314" spans="1:41">
      <c r="A314" s="355"/>
      <c r="B314" s="356"/>
      <c r="C314" s="356"/>
      <c r="D314" s="356"/>
      <c r="E314" s="356"/>
      <c r="F314" s="356"/>
      <c r="G314" s="356"/>
      <c r="H314" s="356"/>
      <c r="Q314" s="383">
        <f t="shared" si="65"/>
        <v>0</v>
      </c>
    </row>
    <row r="315" spans="1:41">
      <c r="A315" s="360"/>
      <c r="B315" s="361" t="s">
        <v>908</v>
      </c>
      <c r="C315" s="361"/>
      <c r="D315" s="361"/>
      <c r="E315" s="361"/>
      <c r="F315" s="361"/>
      <c r="G315" s="361"/>
      <c r="H315" s="362"/>
      <c r="Q315" s="383">
        <f t="shared" si="65"/>
        <v>0</v>
      </c>
    </row>
    <row r="316" spans="1:41">
      <c r="A316" s="360"/>
      <c r="B316" s="361" t="s">
        <v>909</v>
      </c>
      <c r="C316" s="361"/>
      <c r="D316" s="506" t="s">
        <v>910</v>
      </c>
      <c r="E316" s="504"/>
      <c r="F316" s="504"/>
      <c r="G316" s="504"/>
      <c r="H316" s="368" t="s">
        <v>800</v>
      </c>
      <c r="Q316" s="383">
        <f t="shared" si="65"/>
        <v>0</v>
      </c>
    </row>
    <row r="317" spans="1:41" ht="36">
      <c r="A317" s="360"/>
      <c r="B317" s="369" t="s">
        <v>911</v>
      </c>
      <c r="C317" s="370" t="s">
        <v>912</v>
      </c>
      <c r="D317" s="371" t="s">
        <v>913</v>
      </c>
      <c r="E317" s="372" t="s">
        <v>10</v>
      </c>
      <c r="F317" s="369" t="s">
        <v>914</v>
      </c>
      <c r="G317" s="373" t="s">
        <v>924</v>
      </c>
      <c r="H317" s="374" t="s">
        <v>916</v>
      </c>
      <c r="Q317" s="383">
        <f t="shared" si="65"/>
        <v>0</v>
      </c>
    </row>
    <row r="318" spans="1:41" ht="15.75" customHeight="1">
      <c r="A318" s="404" t="s">
        <v>885</v>
      </c>
      <c r="B318" s="378">
        <f>('Pivot Table for Data Exchange'!$M$6)*100</f>
        <v>63.325941365130909</v>
      </c>
      <c r="C318" s="378">
        <f>('Pivot Table for Data Exchange'!$M$9)*100</f>
        <v>16.495399206676201</v>
      </c>
      <c r="D318" s="379">
        <f>SUM(E318:G318)</f>
        <v>20.178659428192887</v>
      </c>
      <c r="E318" s="378">
        <f>('Pivot Table for Data Exchange'!$M$12)*100</f>
        <v>19.411793218778023</v>
      </c>
      <c r="F318" s="378">
        <f>('Pivot Table for Data Exchange'!$M$15)*100</f>
        <v>0.52814199041871657</v>
      </c>
      <c r="G318" s="382">
        <f>('Pivot Table for Data Exchange'!$M$18)*100</f>
        <v>0.23872421899614649</v>
      </c>
      <c r="H318" s="387">
        <f>('Pivot Table for Data Exchange'!$M$21)*100</f>
        <v>0</v>
      </c>
      <c r="I318" s="349"/>
      <c r="J318" s="417"/>
      <c r="K318" s="417"/>
      <c r="L318" s="417"/>
      <c r="M318" s="417"/>
      <c r="N318" s="417"/>
      <c r="O318" s="417"/>
      <c r="P318" s="417"/>
      <c r="Q318" s="383">
        <f t="shared" si="65"/>
        <v>100</v>
      </c>
      <c r="R318" s="383"/>
      <c r="S318" s="384"/>
      <c r="T318" s="384"/>
      <c r="U318" s="384"/>
      <c r="V318" s="384"/>
      <c r="W318" s="384"/>
      <c r="X318" s="384"/>
      <c r="Y318" s="384"/>
      <c r="Z318" s="384"/>
      <c r="AA318" s="384"/>
      <c r="AB318" s="384"/>
      <c r="AC318" s="384"/>
      <c r="AD318" s="384"/>
      <c r="AE318" s="384"/>
      <c r="AF318" s="384"/>
      <c r="AG318" s="384"/>
      <c r="AH318" s="384"/>
      <c r="AI318" s="384"/>
      <c r="AJ318" s="384"/>
      <c r="AK318" s="384"/>
      <c r="AL318" s="384"/>
      <c r="AM318" s="384"/>
      <c r="AN318" s="384"/>
      <c r="AO318" s="384"/>
    </row>
    <row r="319" spans="1:41" ht="15.75" customHeight="1">
      <c r="A319" s="349" t="s">
        <v>886</v>
      </c>
      <c r="B319" s="378">
        <f>('Pivot Table for Data Exchange'!$M$42)*100</f>
        <v>65.708248172653896</v>
      </c>
      <c r="C319" s="378">
        <f>('Pivot Table for Data Exchange'!$M$45)*100</f>
        <v>11.145367836399117</v>
      </c>
      <c r="D319" s="379">
        <f t="shared" ref="D319:D321" si="71">SUM(E319:G319)</f>
        <v>23.146383990946987</v>
      </c>
      <c r="E319" s="378">
        <f>('Pivot Table for Data Exchange'!$M$48)*100</f>
        <v>23.146383990946987</v>
      </c>
      <c r="F319" s="378">
        <f>('Pivot Table for Data Exchange'!$M$51)*100</f>
        <v>0</v>
      </c>
      <c r="G319" s="386">
        <f>('Pivot Table for Data Exchange'!$M$54)*100</f>
        <v>0</v>
      </c>
      <c r="H319" s="378">
        <f>('Pivot Table for Data Exchange'!$M$57)*100</f>
        <v>0</v>
      </c>
      <c r="I319" s="349"/>
      <c r="J319" s="417"/>
      <c r="K319" s="417"/>
      <c r="L319" s="417"/>
      <c r="M319" s="417"/>
      <c r="N319" s="417"/>
      <c r="O319" s="417"/>
      <c r="P319" s="417"/>
      <c r="Q319" s="383">
        <f t="shared" si="65"/>
        <v>100</v>
      </c>
      <c r="R319" s="383"/>
      <c r="S319" s="384"/>
      <c r="T319" s="384"/>
      <c r="U319" s="384"/>
      <c r="V319" s="384"/>
      <c r="W319" s="384"/>
      <c r="X319" s="384"/>
      <c r="Y319" s="384"/>
      <c r="Z319" s="384"/>
      <c r="AA319" s="384"/>
      <c r="AB319" s="384"/>
      <c r="AC319" s="384"/>
      <c r="AD319" s="384"/>
      <c r="AE319" s="384"/>
      <c r="AF319" s="384"/>
      <c r="AG319" s="384"/>
      <c r="AH319" s="384"/>
      <c r="AI319" s="384"/>
      <c r="AJ319" s="384"/>
      <c r="AK319" s="384"/>
      <c r="AL319" s="384"/>
      <c r="AM319" s="384"/>
      <c r="AN319" s="384"/>
      <c r="AO319" s="384"/>
    </row>
    <row r="320" spans="1:41" ht="15.75" customHeight="1">
      <c r="A320" s="349" t="s">
        <v>887</v>
      </c>
      <c r="B320" s="378">
        <f>('Pivot Table for Data Exchange'!$M$78)*100</f>
        <v>86.055778335633576</v>
      </c>
      <c r="C320" s="378">
        <f>('Pivot Table for Data Exchange'!$M$81)*100</f>
        <v>0</v>
      </c>
      <c r="D320" s="379">
        <f t="shared" si="71"/>
        <v>13.944221664366417</v>
      </c>
      <c r="E320" s="378">
        <f>('Pivot Table for Data Exchange'!$M$84)*100</f>
        <v>13.51061556127901</v>
      </c>
      <c r="F320" s="378">
        <f>('Pivot Table for Data Exchange'!$M$87)*100</f>
        <v>0.35101446440409045</v>
      </c>
      <c r="G320" s="386">
        <f>('Pivot Table for Data Exchange'!$M$90)*100</f>
        <v>8.2591638683315399E-2</v>
      </c>
      <c r="H320" s="378">
        <f>('Pivot Table for Data Exchange'!$M$93)*100</f>
        <v>0</v>
      </c>
      <c r="I320" s="349"/>
      <c r="J320" s="417"/>
      <c r="K320" s="417"/>
      <c r="L320" s="417"/>
      <c r="M320" s="417"/>
      <c r="N320" s="417"/>
      <c r="O320" s="417"/>
      <c r="P320" s="417"/>
      <c r="Q320" s="383">
        <f t="shared" si="65"/>
        <v>100</v>
      </c>
      <c r="R320" s="383"/>
      <c r="S320" s="384"/>
      <c r="T320" s="358"/>
      <c r="U320" s="384"/>
      <c r="V320" s="384"/>
      <c r="W320" s="384"/>
      <c r="X320" s="384"/>
      <c r="Y320" s="384"/>
      <c r="Z320" s="384"/>
      <c r="AA320" s="384"/>
      <c r="AB320" s="384"/>
      <c r="AC320" s="384"/>
      <c r="AD320" s="384"/>
      <c r="AE320" s="384"/>
      <c r="AF320" s="384"/>
      <c r="AG320" s="384"/>
      <c r="AH320" s="384"/>
      <c r="AI320" s="384"/>
      <c r="AJ320" s="384"/>
      <c r="AK320" s="384"/>
      <c r="AL320" s="384"/>
      <c r="AM320" s="384"/>
      <c r="AN320" s="384"/>
      <c r="AO320" s="384"/>
    </row>
    <row r="321" spans="1:41" ht="15.75" customHeight="1">
      <c r="A321" s="349" t="s">
        <v>925</v>
      </c>
      <c r="B321" s="378">
        <f>('Pivot Table for Data Exchange'!$M$114)*100</f>
        <v>0</v>
      </c>
      <c r="C321" s="378">
        <f>('Pivot Table for Data Exchange'!$M$117)*100</f>
        <v>0</v>
      </c>
      <c r="D321" s="379">
        <f t="shared" si="71"/>
        <v>0</v>
      </c>
      <c r="E321" s="378">
        <f>('Pivot Table for Data Exchange'!$M$120)*100</f>
        <v>0</v>
      </c>
      <c r="F321" s="378">
        <f>('Pivot Table for Data Exchange'!$M$123)*100</f>
        <v>0</v>
      </c>
      <c r="G321" s="385">
        <f>('Pivot Table for Data Exchange'!$M$126)*100</f>
        <v>0</v>
      </c>
      <c r="H321" s="378">
        <f>('Pivot Table for Data Exchange'!$M$129)*100</f>
        <v>0</v>
      </c>
      <c r="I321" s="349"/>
      <c r="J321" s="417"/>
      <c r="K321" s="417"/>
      <c r="L321" s="417"/>
      <c r="M321" s="417"/>
      <c r="N321" s="417"/>
      <c r="O321" s="417"/>
      <c r="P321" s="417"/>
      <c r="Q321" s="383">
        <f t="shared" si="65"/>
        <v>0</v>
      </c>
      <c r="R321" s="383"/>
      <c r="S321" s="384"/>
      <c r="U321" s="384"/>
      <c r="V321" s="384"/>
      <c r="W321" s="384"/>
      <c r="X321" s="384"/>
      <c r="Y321" s="384"/>
      <c r="Z321" s="384"/>
      <c r="AA321" s="384"/>
      <c r="AB321" s="384"/>
      <c r="AC321" s="384"/>
      <c r="AD321" s="384"/>
      <c r="AE321" s="384"/>
      <c r="AF321" s="384"/>
      <c r="AG321" s="384"/>
      <c r="AH321" s="384"/>
      <c r="AI321" s="384"/>
      <c r="AJ321" s="384"/>
      <c r="AK321" s="384"/>
      <c r="AL321" s="384"/>
      <c r="AM321" s="384"/>
      <c r="AN321" s="384"/>
      <c r="AO321" s="384"/>
    </row>
    <row r="322" spans="1:41" ht="15.75" customHeight="1">
      <c r="B322" s="378"/>
      <c r="C322" s="378"/>
      <c r="D322" s="379"/>
      <c r="E322" s="378"/>
      <c r="F322" s="378"/>
      <c r="G322" s="386"/>
      <c r="H322" s="378"/>
      <c r="I322" s="349"/>
      <c r="J322" s="417"/>
      <c r="K322" s="417"/>
      <c r="L322" s="417"/>
      <c r="M322" s="417"/>
      <c r="N322" s="417"/>
      <c r="O322" s="417"/>
      <c r="P322" s="417"/>
      <c r="Q322" s="383">
        <f t="shared" si="65"/>
        <v>0</v>
      </c>
      <c r="R322" s="383"/>
      <c r="S322" s="384"/>
      <c r="U322" s="384"/>
      <c r="V322" s="384"/>
      <c r="W322" s="384"/>
      <c r="X322" s="384"/>
      <c r="Y322" s="384"/>
      <c r="Z322" s="384"/>
      <c r="AA322" s="384"/>
      <c r="AB322" s="384"/>
      <c r="AC322" s="384"/>
      <c r="AD322" s="384"/>
      <c r="AE322" s="384"/>
      <c r="AF322" s="384"/>
      <c r="AG322" s="384"/>
      <c r="AH322" s="384"/>
      <c r="AI322" s="384"/>
      <c r="AJ322" s="384"/>
      <c r="AK322" s="384"/>
      <c r="AL322" s="384"/>
      <c r="AM322" s="384"/>
      <c r="AN322" s="384"/>
      <c r="AO322" s="384"/>
    </row>
    <row r="323" spans="1:41" ht="15.75" customHeight="1">
      <c r="A323" s="349" t="s">
        <v>889</v>
      </c>
      <c r="B323" s="378">
        <f>('Pivot Table for Data Exchange'!$M$150)*100</f>
        <v>0</v>
      </c>
      <c r="C323" s="378">
        <f>('Pivot Table for Data Exchange'!$M$153)*100</f>
        <v>0</v>
      </c>
      <c r="D323" s="379">
        <f t="shared" ref="D323:D326" si="72">SUM(E323:G323)</f>
        <v>0</v>
      </c>
      <c r="E323" s="378">
        <f>('Pivot Table for Data Exchange'!$M$156)*100</f>
        <v>0</v>
      </c>
      <c r="F323" s="378">
        <f>('Pivot Table for Data Exchange'!$M$159)*100</f>
        <v>0</v>
      </c>
      <c r="G323" s="386">
        <f>('Pivot Table for Data Exchange'!$M$162)*100</f>
        <v>0</v>
      </c>
      <c r="H323" s="378">
        <f>('Pivot Table for Data Exchange'!$M$165)*100</f>
        <v>0</v>
      </c>
      <c r="I323" s="349"/>
      <c r="J323" s="417"/>
      <c r="K323" s="417"/>
      <c r="L323" s="417"/>
      <c r="M323" s="417"/>
      <c r="N323" s="417"/>
      <c r="O323" s="417"/>
      <c r="P323" s="417"/>
      <c r="Q323" s="383">
        <f t="shared" si="65"/>
        <v>0</v>
      </c>
      <c r="R323" s="383"/>
      <c r="S323" s="384"/>
      <c r="T323" s="384"/>
      <c r="U323" s="384"/>
      <c r="V323" s="384"/>
      <c r="W323" s="384"/>
      <c r="X323" s="384"/>
      <c r="Y323" s="384"/>
      <c r="Z323" s="384"/>
      <c r="AA323" s="384"/>
      <c r="AB323" s="384"/>
      <c r="AC323" s="384"/>
      <c r="AD323" s="384"/>
      <c r="AE323" s="384"/>
      <c r="AF323" s="384"/>
      <c r="AG323" s="384"/>
      <c r="AH323" s="384"/>
      <c r="AI323" s="384"/>
      <c r="AJ323" s="384"/>
      <c r="AK323" s="384"/>
      <c r="AL323" s="384"/>
      <c r="AM323" s="384"/>
      <c r="AN323" s="384"/>
      <c r="AO323" s="384"/>
    </row>
    <row r="324" spans="1:41" ht="15.75" customHeight="1">
      <c r="A324" s="349" t="s">
        <v>890</v>
      </c>
      <c r="B324" s="378">
        <f>('Pivot Table for Data Exchange'!$M$186)*100</f>
        <v>49.209932659084302</v>
      </c>
      <c r="C324" s="378">
        <f>('Pivot Table for Data Exchange'!$M$189)*100</f>
        <v>6.6593429851393093</v>
      </c>
      <c r="D324" s="379">
        <f t="shared" si="72"/>
        <v>44.130724355776387</v>
      </c>
      <c r="E324" s="378">
        <f>('Pivot Table for Data Exchange'!$M$192)*100</f>
        <v>44.130724355776387</v>
      </c>
      <c r="F324" s="378">
        <f>('Pivot Table for Data Exchange'!$M$195)*100</f>
        <v>0</v>
      </c>
      <c r="G324" s="386">
        <f>('Pivot Table for Data Exchange'!$M$198)*100</f>
        <v>0</v>
      </c>
      <c r="H324" s="378">
        <f>('Pivot Table for Data Exchange'!$M$201)*100</f>
        <v>0</v>
      </c>
      <c r="I324" s="349"/>
      <c r="J324" s="417"/>
      <c r="K324" s="417"/>
      <c r="L324" s="417"/>
      <c r="M324" s="417"/>
      <c r="N324" s="417"/>
      <c r="O324" s="417"/>
      <c r="P324" s="417"/>
      <c r="Q324" s="383">
        <f t="shared" si="65"/>
        <v>100</v>
      </c>
      <c r="R324" s="383"/>
      <c r="S324" s="384"/>
      <c r="T324" s="384"/>
      <c r="U324" s="384"/>
      <c r="V324" s="384"/>
      <c r="W324" s="384"/>
      <c r="X324" s="384"/>
      <c r="Y324" s="384"/>
      <c r="Z324" s="384"/>
      <c r="AA324" s="384"/>
      <c r="AB324" s="384"/>
      <c r="AC324" s="384"/>
      <c r="AD324" s="384"/>
      <c r="AE324" s="384"/>
      <c r="AF324" s="384"/>
      <c r="AG324" s="384"/>
      <c r="AH324" s="384"/>
      <c r="AI324" s="384"/>
      <c r="AJ324" s="384"/>
      <c r="AK324" s="384"/>
      <c r="AL324" s="384"/>
      <c r="AM324" s="384"/>
      <c r="AN324" s="384"/>
      <c r="AO324" s="384"/>
    </row>
    <row r="325" spans="1:41" ht="15.75" customHeight="1">
      <c r="A325" s="349" t="s">
        <v>891</v>
      </c>
      <c r="B325" s="378">
        <f>('Pivot Table for Data Exchange'!$M$222)*100</f>
        <v>88.537090831292403</v>
      </c>
      <c r="C325" s="378">
        <f>('Pivot Table for Data Exchange'!$M$225)*100</f>
        <v>0</v>
      </c>
      <c r="D325" s="379">
        <f t="shared" si="72"/>
        <v>11.462909168707586</v>
      </c>
      <c r="E325" s="378">
        <f>('Pivot Table for Data Exchange'!$M$228)*100</f>
        <v>11.462909168707586</v>
      </c>
      <c r="F325" s="378">
        <f>('Pivot Table for Data Exchange'!$M$231)*100</f>
        <v>0</v>
      </c>
      <c r="G325" s="386">
        <f>('Pivot Table for Data Exchange'!$M$234)*100</f>
        <v>0</v>
      </c>
      <c r="H325" s="378">
        <f>('Pivot Table for Data Exchange'!$M$237)*100</f>
        <v>0</v>
      </c>
      <c r="I325" s="349"/>
      <c r="J325" s="417"/>
      <c r="K325" s="417"/>
      <c r="L325" s="417"/>
      <c r="M325" s="417"/>
      <c r="N325" s="417"/>
      <c r="O325" s="417"/>
      <c r="P325" s="417"/>
      <c r="Q325" s="383">
        <f t="shared" si="65"/>
        <v>99.999999999999986</v>
      </c>
      <c r="R325" s="383"/>
      <c r="S325" s="384"/>
      <c r="T325" s="358"/>
      <c r="U325" s="384"/>
      <c r="V325" s="384"/>
      <c r="W325" s="384"/>
      <c r="X325" s="384"/>
      <c r="Y325" s="384"/>
      <c r="Z325" s="384"/>
      <c r="AA325" s="384"/>
      <c r="AB325" s="384"/>
      <c r="AC325" s="384"/>
      <c r="AD325" s="384"/>
      <c r="AE325" s="384"/>
      <c r="AF325" s="384"/>
      <c r="AG325" s="384"/>
      <c r="AH325" s="384"/>
      <c r="AI325" s="384"/>
      <c r="AJ325" s="384"/>
      <c r="AK325" s="384"/>
      <c r="AL325" s="384"/>
      <c r="AM325" s="384"/>
      <c r="AN325" s="384"/>
      <c r="AO325" s="384"/>
    </row>
    <row r="326" spans="1:41" ht="15.75" customHeight="1">
      <c r="A326" s="349" t="s">
        <v>892</v>
      </c>
      <c r="B326" s="378">
        <f>('Pivot Table for Data Exchange'!$M$258)*100</f>
        <v>69.142462856215786</v>
      </c>
      <c r="C326" s="378">
        <f>('Pivot Table for Data Exchange'!$M$261)*100</f>
        <v>6.28663801107521</v>
      </c>
      <c r="D326" s="379">
        <f t="shared" si="72"/>
        <v>24.561321206505951</v>
      </c>
      <c r="E326" s="378">
        <f>('Pivot Table for Data Exchange'!$M$264)*100</f>
        <v>24.030625907703975</v>
      </c>
      <c r="F326" s="378">
        <f>('Pivot Table for Data Exchange'!$M$267)*100</f>
        <v>0.53069529880197741</v>
      </c>
      <c r="G326" s="386">
        <f>('Pivot Table for Data Exchange'!$M$270)*100</f>
        <v>0</v>
      </c>
      <c r="H326" s="390">
        <f>('Pivot Table for Data Exchange'!$M$273)*100</f>
        <v>9.5779262030559441E-3</v>
      </c>
      <c r="I326" s="349"/>
      <c r="J326" s="417"/>
      <c r="K326" s="417"/>
      <c r="L326" s="417"/>
      <c r="M326" s="417"/>
      <c r="N326" s="417"/>
      <c r="O326" s="417"/>
      <c r="P326" s="417"/>
      <c r="Q326" s="383">
        <f t="shared" si="65"/>
        <v>100</v>
      </c>
      <c r="R326" s="383"/>
      <c r="S326" s="384"/>
      <c r="U326" s="384"/>
      <c r="V326" s="384"/>
      <c r="W326" s="384"/>
      <c r="X326" s="384"/>
      <c r="Y326" s="384"/>
      <c r="Z326" s="384"/>
      <c r="AA326" s="384"/>
      <c r="AB326" s="384"/>
      <c r="AC326" s="384"/>
      <c r="AD326" s="384"/>
      <c r="AE326" s="384"/>
      <c r="AF326" s="384"/>
      <c r="AG326" s="384"/>
      <c r="AH326" s="384"/>
      <c r="AI326" s="384"/>
      <c r="AJ326" s="384"/>
      <c r="AK326" s="384"/>
      <c r="AL326" s="384"/>
      <c r="AM326" s="384"/>
      <c r="AN326" s="384"/>
      <c r="AO326" s="384"/>
    </row>
    <row r="327" spans="1:41" ht="12" customHeight="1">
      <c r="B327" s="378"/>
      <c r="C327" s="378"/>
      <c r="D327" s="379"/>
      <c r="E327" s="378"/>
      <c r="F327" s="378"/>
      <c r="G327" s="386"/>
      <c r="H327" s="378"/>
      <c r="I327" s="349"/>
      <c r="J327" s="417"/>
      <c r="K327" s="417"/>
      <c r="L327" s="417"/>
      <c r="M327" s="417"/>
      <c r="N327" s="417"/>
      <c r="O327" s="417"/>
      <c r="P327" s="417"/>
      <c r="Q327" s="383">
        <f t="shared" si="65"/>
        <v>0</v>
      </c>
      <c r="R327" s="383"/>
      <c r="S327" s="384"/>
      <c r="U327" s="384"/>
      <c r="V327" s="384"/>
      <c r="W327" s="384"/>
      <c r="X327" s="384"/>
      <c r="Y327" s="384"/>
      <c r="Z327" s="384"/>
      <c r="AA327" s="384"/>
      <c r="AB327" s="384"/>
      <c r="AC327" s="384"/>
      <c r="AD327" s="384"/>
      <c r="AE327" s="384"/>
      <c r="AF327" s="384"/>
      <c r="AG327" s="384"/>
      <c r="AH327" s="384"/>
      <c r="AI327" s="384"/>
      <c r="AJ327" s="384"/>
      <c r="AK327" s="384"/>
      <c r="AL327" s="384"/>
      <c r="AM327" s="384"/>
      <c r="AN327" s="384"/>
      <c r="AO327" s="384"/>
    </row>
    <row r="328" spans="1:41" ht="15.75" customHeight="1">
      <c r="A328" s="349" t="s">
        <v>940</v>
      </c>
      <c r="B328" s="378">
        <f>('Pivot Table for Data Exchange'!$M$294)*100</f>
        <v>73.464132162204294</v>
      </c>
      <c r="C328" s="378">
        <f>('Pivot Table for Data Exchange'!$M$297)*100</f>
        <v>2.9339091159862507</v>
      </c>
      <c r="D328" s="379">
        <f t="shared" ref="D328:D330" si="73">SUM(E328:G328)</f>
        <v>23.601958721809464</v>
      </c>
      <c r="E328" s="378">
        <f>('Pivot Table for Data Exchange'!$M$300)*100</f>
        <v>23.601958721809464</v>
      </c>
      <c r="F328" s="378">
        <f>('Pivot Table for Data Exchange'!$M$303)*100</f>
        <v>0</v>
      </c>
      <c r="G328" s="386">
        <f>('Pivot Table for Data Exchange'!$M$306)*100</f>
        <v>0</v>
      </c>
      <c r="H328" s="378">
        <f>('Pivot Table for Data Exchange'!$M$309)*100</f>
        <v>0</v>
      </c>
      <c r="I328" s="424"/>
      <c r="J328" s="417"/>
      <c r="K328" s="417"/>
      <c r="L328" s="417"/>
      <c r="M328" s="417"/>
      <c r="N328" s="417"/>
      <c r="O328" s="417"/>
      <c r="P328" s="417"/>
      <c r="Q328" s="383">
        <f t="shared" si="65"/>
        <v>100.00000000000001</v>
      </c>
      <c r="R328" s="383"/>
      <c r="S328" s="384"/>
      <c r="T328" s="384"/>
      <c r="U328" s="384"/>
      <c r="V328" s="384"/>
      <c r="W328" s="384"/>
      <c r="X328" s="384"/>
      <c r="Y328" s="384"/>
      <c r="Z328" s="384"/>
      <c r="AA328" s="384"/>
      <c r="AB328" s="384"/>
      <c r="AC328" s="384"/>
      <c r="AD328" s="384"/>
      <c r="AE328" s="384"/>
      <c r="AF328" s="384"/>
      <c r="AG328" s="384"/>
      <c r="AH328" s="384"/>
      <c r="AI328" s="384"/>
      <c r="AJ328" s="384"/>
      <c r="AK328" s="384"/>
      <c r="AL328" s="384"/>
      <c r="AM328" s="384"/>
      <c r="AN328" s="384"/>
      <c r="AO328" s="384"/>
    </row>
    <row r="329" spans="1:41" ht="15.75" customHeight="1">
      <c r="A329" s="349" t="s">
        <v>894</v>
      </c>
      <c r="B329" s="378">
        <f>('Pivot Table for Data Exchange'!$M$330)*100</f>
        <v>35.14658395391487</v>
      </c>
      <c r="C329" s="378">
        <f>('Pivot Table for Data Exchange'!$M$333)*100</f>
        <v>2.5726146112830923</v>
      </c>
      <c r="D329" s="379">
        <f t="shared" si="73"/>
        <v>62.280801434802036</v>
      </c>
      <c r="E329" s="378">
        <f>('Pivot Table for Data Exchange'!$M$336)*100</f>
        <v>61.438037216694333</v>
      </c>
      <c r="F329" s="378">
        <f>('Pivot Table for Data Exchange'!$M$339)*100</f>
        <v>0.80628757104757132</v>
      </c>
      <c r="G329" s="385">
        <f>('Pivot Table for Data Exchange'!$M$342)*100</f>
        <v>3.6476647060131873E-2</v>
      </c>
      <c r="H329" s="378">
        <f>('Pivot Table for Data Exchange'!$M$345)*100</f>
        <v>0</v>
      </c>
      <c r="I329" s="349"/>
      <c r="J329" s="417"/>
      <c r="K329" s="417"/>
      <c r="L329" s="417"/>
      <c r="M329" s="417"/>
      <c r="N329" s="417"/>
      <c r="O329" s="417"/>
      <c r="P329" s="417"/>
      <c r="Q329" s="383">
        <f t="shared" si="65"/>
        <v>100</v>
      </c>
      <c r="R329" s="383"/>
      <c r="S329" s="384"/>
      <c r="T329" s="384"/>
      <c r="U329" s="384"/>
      <c r="V329" s="384"/>
      <c r="W329" s="384"/>
      <c r="X329" s="384"/>
      <c r="Y329" s="384"/>
      <c r="Z329" s="384"/>
      <c r="AA329" s="384"/>
      <c r="AB329" s="384"/>
      <c r="AC329" s="384"/>
      <c r="AD329" s="384"/>
      <c r="AE329" s="384"/>
      <c r="AF329" s="384"/>
      <c r="AG329" s="384"/>
      <c r="AH329" s="384"/>
      <c r="AI329" s="384"/>
      <c r="AJ329" s="384"/>
      <c r="AK329" s="384"/>
      <c r="AL329" s="384"/>
      <c r="AM329" s="384"/>
      <c r="AN329" s="384"/>
      <c r="AO329" s="384"/>
    </row>
    <row r="330" spans="1:41" ht="15.75" customHeight="1">
      <c r="A330" s="349" t="s">
        <v>895</v>
      </c>
      <c r="B330" s="378">
        <f>('Pivot Table for Data Exchange'!$M$366)*100</f>
        <v>70.66989893164029</v>
      </c>
      <c r="C330" s="378">
        <f>('Pivot Table for Data Exchange'!$M$369)*100</f>
        <v>0.79890415403124426</v>
      </c>
      <c r="D330" s="379">
        <f t="shared" si="73"/>
        <v>28.531196914328458</v>
      </c>
      <c r="E330" s="378">
        <f>('Pivot Table for Data Exchange'!$M$372)*100</f>
        <v>21.684863176962001</v>
      </c>
      <c r="F330" s="378">
        <f>('Pivot Table for Data Exchange'!$M$375)*100</f>
        <v>6.1983787607748431</v>
      </c>
      <c r="G330" s="385">
        <f>('Pivot Table for Data Exchange'!$M$378)*100</f>
        <v>0.64795497659161261</v>
      </c>
      <c r="H330" s="378">
        <f>('Pivot Table for Data Exchange'!$M$381)*100</f>
        <v>0</v>
      </c>
      <c r="I330" s="349"/>
      <c r="J330" s="417"/>
      <c r="K330" s="417"/>
      <c r="L330" s="417"/>
      <c r="M330" s="417"/>
      <c r="N330" s="417"/>
      <c r="O330" s="417"/>
      <c r="P330" s="417"/>
      <c r="Q330" s="383">
        <f t="shared" si="65"/>
        <v>100</v>
      </c>
      <c r="R330" s="383"/>
      <c r="S330" s="384"/>
      <c r="T330" s="358"/>
      <c r="U330" s="384"/>
      <c r="V330" s="384"/>
      <c r="W330" s="384"/>
      <c r="X330" s="384"/>
      <c r="Y330" s="384"/>
      <c r="Z330" s="384"/>
      <c r="AA330" s="384"/>
      <c r="AB330" s="384"/>
      <c r="AC330" s="384"/>
      <c r="AD330" s="384"/>
      <c r="AE330" s="384"/>
      <c r="AF330" s="384"/>
      <c r="AG330" s="384"/>
      <c r="AH330" s="384"/>
      <c r="AI330" s="384"/>
      <c r="AJ330" s="384"/>
      <c r="AK330" s="384"/>
      <c r="AL330" s="384"/>
      <c r="AM330" s="384"/>
      <c r="AN330" s="384"/>
      <c r="AO330" s="384"/>
    </row>
    <row r="331" spans="1:41" ht="15.75" customHeight="1">
      <c r="A331" s="349" t="s">
        <v>896</v>
      </c>
      <c r="B331" s="378">
        <f>('Pivot Table for Data Exchange'!$M$402)*100</f>
        <v>53.358598321934714</v>
      </c>
      <c r="C331" s="378">
        <f>('Pivot Table for Data Exchange'!$M$405)*100</f>
        <v>9.1720721991116125</v>
      </c>
      <c r="D331" s="379">
        <f>SUM(E331:G331)</f>
        <v>37.469329478953675</v>
      </c>
      <c r="E331" s="378">
        <f>('Pivot Table for Data Exchange'!$M$408)*100</f>
        <v>35.31040682507227</v>
      </c>
      <c r="F331" s="378">
        <f>('Pivot Table for Data Exchange'!$M$411)*100</f>
        <v>2.1589226538814072</v>
      </c>
      <c r="G331" s="389">
        <f>('Pivot Table for Data Exchange'!$M$414)*100</f>
        <v>0</v>
      </c>
      <c r="H331" s="378">
        <f>('Pivot Table for Data Exchange'!$M$417)*100</f>
        <v>0</v>
      </c>
      <c r="I331" s="349"/>
      <c r="J331" s="417"/>
      <c r="K331" s="417"/>
      <c r="L331" s="417"/>
      <c r="M331" s="417"/>
      <c r="N331" s="417"/>
      <c r="O331" s="417"/>
      <c r="P331" s="417"/>
      <c r="Q331" s="383">
        <f t="shared" ref="Q331:Q395" si="74">SUM(B331,C331,D331,H331)</f>
        <v>100</v>
      </c>
      <c r="R331" s="383"/>
      <c r="S331" s="384"/>
      <c r="T331" s="384"/>
      <c r="U331" s="384"/>
      <c r="V331" s="384"/>
      <c r="W331" s="384"/>
      <c r="X331" s="384"/>
      <c r="Y331" s="384"/>
      <c r="Z331" s="384"/>
      <c r="AA331" s="384"/>
      <c r="AB331" s="384"/>
      <c r="AC331" s="384"/>
      <c r="AD331" s="384"/>
      <c r="AE331" s="384"/>
      <c r="AF331" s="384"/>
      <c r="AG331" s="384"/>
      <c r="AH331" s="384"/>
      <c r="AI331" s="384"/>
      <c r="AJ331" s="384"/>
      <c r="AK331" s="384"/>
      <c r="AL331" s="384"/>
      <c r="AM331" s="384"/>
      <c r="AN331" s="384"/>
      <c r="AO331" s="384"/>
    </row>
    <row r="332" spans="1:41" ht="12.75" customHeight="1">
      <c r="B332" s="378"/>
      <c r="C332" s="378"/>
      <c r="D332" s="379"/>
      <c r="E332" s="378"/>
      <c r="F332" s="378"/>
      <c r="G332" s="386"/>
      <c r="H332" s="378"/>
      <c r="I332" s="349"/>
      <c r="J332" s="417"/>
      <c r="K332" s="417"/>
      <c r="L332" s="417"/>
      <c r="M332" s="417"/>
      <c r="N332" s="417"/>
      <c r="O332" s="417"/>
      <c r="P332" s="417"/>
      <c r="Q332" s="383">
        <f t="shared" si="74"/>
        <v>0</v>
      </c>
      <c r="R332" s="383"/>
      <c r="S332" s="384"/>
      <c r="T332" s="384"/>
      <c r="U332" s="384"/>
      <c r="V332" s="384"/>
      <c r="W332" s="384"/>
      <c r="X332" s="384"/>
      <c r="Y332" s="384"/>
      <c r="Z332" s="384"/>
      <c r="AA332" s="384"/>
      <c r="AB332" s="384"/>
      <c r="AC332" s="384"/>
      <c r="AD332" s="384"/>
      <c r="AE332" s="384"/>
      <c r="AF332" s="384"/>
      <c r="AG332" s="384"/>
      <c r="AH332" s="384"/>
      <c r="AI332" s="384"/>
      <c r="AJ332" s="384"/>
      <c r="AK332" s="384"/>
      <c r="AL332" s="384"/>
      <c r="AM332" s="384"/>
      <c r="AN332" s="384"/>
      <c r="AO332" s="384"/>
    </row>
    <row r="333" spans="1:41" ht="15.75" customHeight="1">
      <c r="A333" s="349" t="s">
        <v>897</v>
      </c>
      <c r="B333" s="378">
        <f>('Pivot Table for Data Exchange'!$M$438)*100</f>
        <v>39.752539253036687</v>
      </c>
      <c r="C333" s="378">
        <f>('Pivot Table for Data Exchange'!$M$441)*100</f>
        <v>33.970728045689306</v>
      </c>
      <c r="D333" s="379">
        <f>SUM(E333:G333)</f>
        <v>26.121500549866777</v>
      </c>
      <c r="E333" s="378">
        <f>('Pivot Table for Data Exchange'!$M$444)*100</f>
        <v>17.533230029211243</v>
      </c>
      <c r="F333" s="378">
        <f>('Pivot Table for Data Exchange'!$M$447)*100</f>
        <v>3.9787725207355655</v>
      </c>
      <c r="G333" s="386">
        <f>('Pivot Table for Data Exchange'!$M$450)*100</f>
        <v>4.6094979999199692</v>
      </c>
      <c r="H333" s="378">
        <f>('Pivot Table for Data Exchange'!$M$453)*100</f>
        <v>0.15523215140723121</v>
      </c>
      <c r="I333" s="349"/>
      <c r="J333" s="417"/>
      <c r="K333" s="417"/>
      <c r="L333" s="417"/>
      <c r="M333" s="417"/>
      <c r="N333" s="417"/>
      <c r="O333" s="417"/>
      <c r="P333" s="417"/>
      <c r="Q333" s="383">
        <f t="shared" si="74"/>
        <v>100.00000000000001</v>
      </c>
      <c r="R333" s="383"/>
      <c r="S333" s="384"/>
      <c r="T333" s="384"/>
      <c r="U333" s="384"/>
      <c r="V333" s="384"/>
      <c r="W333" s="384"/>
      <c r="X333" s="384"/>
      <c r="Y333" s="384"/>
      <c r="Z333" s="384"/>
      <c r="AA333" s="384"/>
      <c r="AB333" s="384"/>
      <c r="AC333" s="384"/>
      <c r="AD333" s="384"/>
      <c r="AE333" s="384"/>
      <c r="AF333" s="384"/>
      <c r="AG333" s="384"/>
      <c r="AH333" s="384"/>
      <c r="AI333" s="384"/>
      <c r="AJ333" s="384"/>
      <c r="AK333" s="384"/>
      <c r="AL333" s="384"/>
      <c r="AM333" s="384"/>
      <c r="AN333" s="384"/>
      <c r="AO333" s="384"/>
    </row>
    <row r="334" spans="1:41" ht="15.75" customHeight="1">
      <c r="A334" s="349" t="s">
        <v>898</v>
      </c>
      <c r="B334" s="378">
        <f>('Pivot Table for Data Exchange'!$M$474)*100</f>
        <v>51.272831154306701</v>
      </c>
      <c r="C334" s="378">
        <f>('Pivot Table for Data Exchange'!$M$477)*100</f>
        <v>21.466299544744505</v>
      </c>
      <c r="D334" s="379">
        <f>SUM(E334:G334)</f>
        <v>27.260869300948801</v>
      </c>
      <c r="E334" s="378">
        <f>('Pivot Table for Data Exchange'!$M$480)*100</f>
        <v>24.893216551282595</v>
      </c>
      <c r="F334" s="378">
        <f>('Pivot Table for Data Exchange'!$M$483)*100</f>
        <v>2.1156920309014544</v>
      </c>
      <c r="G334" s="386">
        <f>('Pivot Table for Data Exchange'!$M$486)*100</f>
        <v>0.25196071876475223</v>
      </c>
      <c r="H334" s="378">
        <f>('Pivot Table for Data Exchange'!$M$489)*100</f>
        <v>0</v>
      </c>
      <c r="I334" s="349"/>
      <c r="J334" s="417"/>
      <c r="K334" s="417"/>
      <c r="L334" s="417"/>
      <c r="M334" s="417"/>
      <c r="N334" s="417"/>
      <c r="O334" s="417"/>
      <c r="P334" s="417"/>
      <c r="Q334" s="383">
        <f t="shared" si="74"/>
        <v>100</v>
      </c>
      <c r="R334" s="383"/>
      <c r="S334" s="384"/>
      <c r="T334" s="384"/>
      <c r="U334" s="384"/>
      <c r="V334" s="384"/>
      <c r="W334" s="384"/>
      <c r="X334" s="384"/>
      <c r="Y334" s="384"/>
      <c r="Z334" s="384"/>
      <c r="AA334" s="384"/>
      <c r="AB334" s="384"/>
      <c r="AC334" s="384"/>
      <c r="AD334" s="384"/>
      <c r="AE334" s="384"/>
      <c r="AF334" s="384"/>
      <c r="AG334" s="384"/>
      <c r="AH334" s="384"/>
      <c r="AI334" s="384"/>
      <c r="AJ334" s="384"/>
      <c r="AK334" s="384"/>
      <c r="AL334" s="384"/>
      <c r="AM334" s="384"/>
      <c r="AN334" s="384"/>
      <c r="AO334" s="384"/>
    </row>
    <row r="335" spans="1:41" ht="15.75" customHeight="1">
      <c r="A335" s="349" t="s">
        <v>899</v>
      </c>
      <c r="B335" s="378">
        <f>('Pivot Table for Data Exchange'!$M$510)*100</f>
        <v>46.83459327274651</v>
      </c>
      <c r="C335" s="378">
        <f>('Pivot Table for Data Exchange'!$M$513)*100</f>
        <v>23.719153038550619</v>
      </c>
      <c r="D335" s="379">
        <f t="shared" ref="D335" si="75">SUM(E335:G335)</f>
        <v>29.446253688702875</v>
      </c>
      <c r="E335" s="378">
        <f>('Pivot Table for Data Exchange'!$M$516)*100</f>
        <v>25.255769660345418</v>
      </c>
      <c r="F335" s="378">
        <f>('Pivot Table for Data Exchange'!$M$519)*100</f>
        <v>4.1904840283574547</v>
      </c>
      <c r="G335" s="386">
        <f>('Pivot Table for Data Exchange'!$M$522)*100</f>
        <v>0</v>
      </c>
      <c r="H335" s="378">
        <f>('Pivot Table for Data Exchange'!$M$525)*100</f>
        <v>0</v>
      </c>
      <c r="I335" s="349"/>
      <c r="J335" s="417"/>
      <c r="K335" s="417"/>
      <c r="L335" s="417"/>
      <c r="M335" s="417"/>
      <c r="N335" s="417"/>
      <c r="O335" s="417"/>
      <c r="P335" s="417"/>
      <c r="Q335" s="383">
        <f t="shared" si="74"/>
        <v>100</v>
      </c>
      <c r="R335" s="383"/>
      <c r="S335" s="384"/>
      <c r="T335" s="384"/>
      <c r="U335" s="384"/>
      <c r="V335" s="384"/>
      <c r="W335" s="384"/>
      <c r="X335" s="384"/>
      <c r="Y335" s="384"/>
      <c r="Z335" s="384"/>
      <c r="AA335" s="384"/>
      <c r="AB335" s="384"/>
      <c r="AC335" s="384"/>
      <c r="AD335" s="384"/>
      <c r="AE335" s="384"/>
      <c r="AF335" s="384"/>
      <c r="AG335" s="384"/>
      <c r="AH335" s="384"/>
      <c r="AI335" s="384"/>
      <c r="AJ335" s="384"/>
      <c r="AK335" s="384"/>
      <c r="AL335" s="384"/>
      <c r="AM335" s="384"/>
      <c r="AN335" s="384"/>
      <c r="AO335" s="384"/>
    </row>
    <row r="336" spans="1:41" ht="15.75" customHeight="1">
      <c r="A336" s="355" t="s">
        <v>900</v>
      </c>
      <c r="B336" s="391">
        <f>('Pivot Table for Data Exchange'!$M$546)*100</f>
        <v>0</v>
      </c>
      <c r="C336" s="391">
        <f>('Pivot Table for Data Exchange'!$M$549)*100</f>
        <v>0</v>
      </c>
      <c r="D336" s="392">
        <f>SUM(E336:G336)</f>
        <v>0</v>
      </c>
      <c r="E336" s="391">
        <f>('Pivot Table for Data Exchange'!$M$552)*100</f>
        <v>0</v>
      </c>
      <c r="F336" s="391">
        <f>('Pivot Table for Data Exchange'!$M$555)*100</f>
        <v>0</v>
      </c>
      <c r="G336" s="414">
        <f>('Pivot Table for Data Exchange'!$M$558)*100</f>
        <v>0</v>
      </c>
      <c r="H336" s="391">
        <f>('Pivot Table for Data Exchange'!$M$561)*100</f>
        <v>0</v>
      </c>
      <c r="I336" s="349"/>
      <c r="J336" s="417"/>
      <c r="K336" s="417"/>
      <c r="L336" s="417"/>
      <c r="M336" s="417"/>
      <c r="N336" s="417"/>
      <c r="O336" s="417"/>
      <c r="P336" s="417"/>
      <c r="Q336" s="383">
        <f t="shared" si="74"/>
        <v>0</v>
      </c>
      <c r="R336" s="383"/>
      <c r="S336" s="384"/>
      <c r="T336" s="384"/>
      <c r="U336" s="384"/>
      <c r="V336" s="384"/>
      <c r="W336" s="384"/>
      <c r="X336" s="384"/>
      <c r="Y336" s="384"/>
      <c r="Z336" s="384"/>
      <c r="AA336" s="384"/>
      <c r="AB336" s="384"/>
      <c r="AC336" s="384"/>
      <c r="AD336" s="384"/>
      <c r="AE336" s="384"/>
      <c r="AF336" s="384"/>
      <c r="AG336" s="384"/>
      <c r="AH336" s="384"/>
      <c r="AI336" s="384"/>
      <c r="AJ336" s="384"/>
      <c r="AK336" s="384"/>
      <c r="AL336" s="384"/>
      <c r="AM336" s="384"/>
      <c r="AN336" s="384"/>
      <c r="AO336" s="384"/>
    </row>
    <row r="337" spans="1:41" s="396" customFormat="1" ht="12" customHeight="1">
      <c r="A337" s="397" t="s">
        <v>926</v>
      </c>
      <c r="B337" s="398"/>
      <c r="C337" s="398"/>
      <c r="D337" s="399"/>
      <c r="E337" s="398"/>
      <c r="F337" s="399"/>
      <c r="G337" s="399"/>
      <c r="H337" s="398"/>
      <c r="I337" s="407"/>
      <c r="J337" s="398"/>
      <c r="K337" s="398"/>
      <c r="L337" s="399"/>
      <c r="M337" s="398"/>
      <c r="N337" s="399"/>
      <c r="O337" s="399"/>
      <c r="P337" s="398"/>
      <c r="Q337" s="383">
        <f t="shared" si="74"/>
        <v>0</v>
      </c>
      <c r="R337" s="418"/>
      <c r="S337" s="400"/>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row>
    <row r="338" spans="1:41" s="396" customFormat="1" ht="22.5" customHeight="1">
      <c r="A338" s="501" t="s">
        <v>941</v>
      </c>
      <c r="B338" s="518"/>
      <c r="C338" s="518"/>
      <c r="D338" s="518"/>
      <c r="E338" s="518"/>
      <c r="F338" s="518"/>
      <c r="G338" s="518"/>
      <c r="H338" s="518"/>
      <c r="I338" s="407"/>
      <c r="P338" s="409"/>
      <c r="Q338" s="383">
        <f t="shared" si="74"/>
        <v>0</v>
      </c>
      <c r="R338" s="419"/>
    </row>
    <row r="339" spans="1:41" s="396" customFormat="1" ht="13.5" customHeight="1">
      <c r="A339" s="395"/>
      <c r="B339" s="425"/>
      <c r="C339" s="425"/>
      <c r="D339" s="425"/>
      <c r="E339" s="425"/>
      <c r="F339" s="425"/>
      <c r="G339" s="425"/>
      <c r="H339" s="425"/>
      <c r="I339" s="407"/>
      <c r="P339" s="409"/>
      <c r="Q339" s="383"/>
      <c r="R339" s="419"/>
    </row>
    <row r="340" spans="1:41" s="396" customFormat="1">
      <c r="H340" s="402" t="s">
        <v>1007</v>
      </c>
      <c r="Q340" s="383">
        <f t="shared" si="74"/>
        <v>0</v>
      </c>
      <c r="R340" s="422"/>
    </row>
    <row r="341" spans="1:41" ht="18">
      <c r="A341" s="344" t="s">
        <v>946</v>
      </c>
      <c r="B341" s="345"/>
      <c r="C341" s="345"/>
      <c r="D341" s="345"/>
      <c r="E341" s="345"/>
      <c r="F341" s="345"/>
      <c r="G341" s="345"/>
      <c r="H341" s="345"/>
      <c r="L341" s="345"/>
      <c r="Q341" s="383">
        <f t="shared" si="74"/>
        <v>0</v>
      </c>
    </row>
    <row r="342" spans="1:41">
      <c r="A342" s="350"/>
      <c r="B342" s="346"/>
      <c r="C342" s="346"/>
      <c r="D342" s="346"/>
      <c r="E342" s="346"/>
      <c r="F342" s="346"/>
      <c r="G342" s="346"/>
      <c r="H342" s="346"/>
      <c r="Q342" s="383">
        <f t="shared" si="74"/>
        <v>0</v>
      </c>
    </row>
    <row r="343" spans="1:41" ht="15.75">
      <c r="A343" s="352" t="s">
        <v>906</v>
      </c>
      <c r="B343" s="346"/>
      <c r="C343" s="346"/>
      <c r="D343" s="346"/>
      <c r="E343" s="346"/>
      <c r="F343" s="346"/>
      <c r="G343" s="346"/>
      <c r="H343" s="346"/>
      <c r="L343" s="346"/>
      <c r="Q343" s="383">
        <f t="shared" si="74"/>
        <v>0</v>
      </c>
    </row>
    <row r="344" spans="1:41" ht="15.75">
      <c r="A344" s="352" t="s">
        <v>961</v>
      </c>
      <c r="B344" s="346"/>
      <c r="C344" s="346"/>
      <c r="D344" s="346"/>
      <c r="E344" s="346"/>
      <c r="F344" s="346"/>
      <c r="G344" s="346"/>
      <c r="H344" s="346"/>
      <c r="Q344" s="383">
        <f t="shared" si="74"/>
        <v>0</v>
      </c>
    </row>
    <row r="345" spans="1:41">
      <c r="A345" s="355"/>
      <c r="B345" s="356"/>
      <c r="C345" s="356"/>
      <c r="D345" s="356"/>
      <c r="E345" s="356"/>
      <c r="F345" s="356"/>
      <c r="G345" s="356"/>
      <c r="H345" s="356"/>
      <c r="Q345" s="383">
        <f t="shared" si="74"/>
        <v>0</v>
      </c>
    </row>
    <row r="346" spans="1:41">
      <c r="A346" s="360"/>
      <c r="B346" s="361" t="s">
        <v>908</v>
      </c>
      <c r="C346" s="361"/>
      <c r="D346" s="361"/>
      <c r="E346" s="361"/>
      <c r="F346" s="361"/>
      <c r="G346" s="361"/>
      <c r="H346" s="362"/>
      <c r="Q346" s="383">
        <f t="shared" si="74"/>
        <v>0</v>
      </c>
    </row>
    <row r="347" spans="1:41">
      <c r="A347" s="360"/>
      <c r="B347" s="361" t="s">
        <v>909</v>
      </c>
      <c r="C347" s="361"/>
      <c r="D347" s="506" t="s">
        <v>910</v>
      </c>
      <c r="E347" s="504"/>
      <c r="F347" s="504"/>
      <c r="G347" s="504"/>
      <c r="H347" s="368" t="s">
        <v>800</v>
      </c>
      <c r="Q347" s="383">
        <f t="shared" si="74"/>
        <v>0</v>
      </c>
    </row>
    <row r="348" spans="1:41" ht="36">
      <c r="A348" s="360"/>
      <c r="B348" s="369" t="s">
        <v>911</v>
      </c>
      <c r="C348" s="370" t="s">
        <v>912</v>
      </c>
      <c r="D348" s="371" t="s">
        <v>913</v>
      </c>
      <c r="E348" s="372" t="s">
        <v>10</v>
      </c>
      <c r="F348" s="369" t="s">
        <v>914</v>
      </c>
      <c r="G348" s="373" t="s">
        <v>924</v>
      </c>
      <c r="H348" s="374" t="s">
        <v>916</v>
      </c>
      <c r="Q348" s="383">
        <f t="shared" si="74"/>
        <v>0</v>
      </c>
    </row>
    <row r="349" spans="1:41" ht="15.75" customHeight="1">
      <c r="A349" s="404" t="s">
        <v>885</v>
      </c>
      <c r="B349" s="378">
        <f>('Pivot Table for Data Exchange'!$N$6)*100</f>
        <v>63.639336179267922</v>
      </c>
      <c r="C349" s="378">
        <f>('Pivot Table for Data Exchange'!$N$9)*100</f>
        <v>9.2039600877136074</v>
      </c>
      <c r="D349" s="379">
        <f>SUM(E349:G349)</f>
        <v>27.156703733018464</v>
      </c>
      <c r="E349" s="378">
        <f>('Pivot Table for Data Exchange'!$N$12)*100</f>
        <v>27.147620963033127</v>
      </c>
      <c r="F349" s="378">
        <f>('Pivot Table for Data Exchange'!$N$15)*100</f>
        <v>0</v>
      </c>
      <c r="G349" s="382">
        <f>('Pivot Table for Data Exchange'!$N$18)*100</f>
        <v>9.082769985337814E-3</v>
      </c>
      <c r="H349" s="378">
        <f>('Pivot Table for Data Exchange'!$N$21)*100</f>
        <v>0</v>
      </c>
      <c r="I349" s="349"/>
      <c r="J349" s="417"/>
      <c r="K349" s="417"/>
      <c r="L349" s="417"/>
      <c r="M349" s="417"/>
      <c r="N349" s="417"/>
      <c r="O349" s="417"/>
      <c r="P349" s="417"/>
      <c r="Q349" s="383">
        <f t="shared" si="74"/>
        <v>99.999999999999986</v>
      </c>
      <c r="R349" s="383"/>
      <c r="S349" s="384"/>
      <c r="T349" s="384"/>
      <c r="U349" s="384"/>
      <c r="V349" s="384"/>
      <c r="W349" s="384"/>
      <c r="X349" s="384"/>
      <c r="Y349" s="384"/>
      <c r="Z349" s="384"/>
      <c r="AA349" s="384"/>
      <c r="AB349" s="384"/>
      <c r="AC349" s="384"/>
      <c r="AD349" s="384"/>
      <c r="AE349" s="384"/>
      <c r="AF349" s="384"/>
      <c r="AG349" s="384"/>
      <c r="AH349" s="384"/>
      <c r="AI349" s="384"/>
      <c r="AJ349" s="384"/>
      <c r="AK349" s="384"/>
      <c r="AL349" s="384"/>
      <c r="AM349" s="384"/>
      <c r="AN349" s="384"/>
      <c r="AO349" s="384"/>
    </row>
    <row r="350" spans="1:41" ht="15.75" customHeight="1">
      <c r="A350" s="349" t="s">
        <v>886</v>
      </c>
      <c r="B350" s="378">
        <f>('Pivot Table for Data Exchange'!$N$42)*100</f>
        <v>62.161556450565158</v>
      </c>
      <c r="C350" s="378">
        <f>('Pivot Table for Data Exchange'!$N$45)*100</f>
        <v>12.479537482135896</v>
      </c>
      <c r="D350" s="379">
        <f t="shared" ref="D350:D352" si="76">SUM(E350:G350)</f>
        <v>25.35890606729895</v>
      </c>
      <c r="E350" s="378">
        <f>('Pivot Table for Data Exchange'!$N$48)*100</f>
        <v>23.709562167078083</v>
      </c>
      <c r="F350" s="378">
        <f>('Pivot Table for Data Exchange'!$N$51)*100</f>
        <v>1.6493439002208652</v>
      </c>
      <c r="G350" s="385">
        <f>('Pivot Table for Data Exchange'!$N$54)*100</f>
        <v>0</v>
      </c>
      <c r="H350" s="390">
        <f>('Pivot Table for Data Exchange'!$N$57)*100</f>
        <v>0</v>
      </c>
      <c r="I350" s="349"/>
      <c r="J350" s="417"/>
      <c r="K350" s="417"/>
      <c r="L350" s="417"/>
      <c r="M350" s="417"/>
      <c r="N350" s="417"/>
      <c r="O350" s="417"/>
      <c r="P350" s="417"/>
      <c r="Q350" s="383">
        <f t="shared" si="74"/>
        <v>100</v>
      </c>
      <c r="R350" s="383"/>
      <c r="S350" s="384"/>
      <c r="T350" s="384"/>
      <c r="U350" s="384"/>
      <c r="V350" s="384"/>
      <c r="W350" s="384"/>
      <c r="X350" s="384"/>
      <c r="Y350" s="384"/>
      <c r="Z350" s="384"/>
      <c r="AA350" s="384"/>
      <c r="AB350" s="384"/>
      <c r="AC350" s="384"/>
      <c r="AD350" s="384"/>
      <c r="AE350" s="384"/>
      <c r="AF350" s="384"/>
      <c r="AG350" s="384"/>
      <c r="AH350" s="384"/>
      <c r="AI350" s="384"/>
      <c r="AJ350" s="384"/>
      <c r="AK350" s="384"/>
      <c r="AL350" s="384"/>
      <c r="AM350" s="384"/>
      <c r="AN350" s="384"/>
      <c r="AO350" s="384"/>
    </row>
    <row r="351" spans="1:41" ht="15.75" customHeight="1">
      <c r="A351" s="349" t="s">
        <v>887</v>
      </c>
      <c r="B351" s="378">
        <f>('Pivot Table for Data Exchange'!$N$78)*100</f>
        <v>0</v>
      </c>
      <c r="C351" s="378">
        <f>('Pivot Table for Data Exchange'!$N$81)*100</f>
        <v>0</v>
      </c>
      <c r="D351" s="379">
        <f t="shared" si="76"/>
        <v>0</v>
      </c>
      <c r="E351" s="378">
        <f>('Pivot Table for Data Exchange'!$N$84)*100</f>
        <v>0</v>
      </c>
      <c r="F351" s="378">
        <f>('Pivot Table for Data Exchange'!$N$87)*100</f>
        <v>0</v>
      </c>
      <c r="G351" s="386">
        <f>('Pivot Table for Data Exchange'!$N$90)*100</f>
        <v>0</v>
      </c>
      <c r="H351" s="378">
        <f>('Pivot Table for Data Exchange'!$N$93)*100</f>
        <v>0</v>
      </c>
      <c r="I351" s="349"/>
      <c r="J351" s="417"/>
      <c r="K351" s="417"/>
      <c r="L351" s="417"/>
      <c r="M351" s="417"/>
      <c r="N351" s="417"/>
      <c r="O351" s="417"/>
      <c r="P351" s="417"/>
      <c r="Q351" s="383">
        <f t="shared" si="74"/>
        <v>0</v>
      </c>
      <c r="R351" s="383"/>
      <c r="S351" s="384"/>
      <c r="T351" s="358"/>
      <c r="U351" s="384"/>
      <c r="V351" s="384"/>
      <c r="W351" s="384"/>
      <c r="X351" s="384"/>
      <c r="Y351" s="384"/>
      <c r="Z351" s="384"/>
      <c r="AA351" s="384"/>
      <c r="AB351" s="384"/>
      <c r="AC351" s="384"/>
      <c r="AD351" s="384"/>
      <c r="AE351" s="384"/>
      <c r="AF351" s="384"/>
      <c r="AG351" s="384"/>
      <c r="AH351" s="384"/>
      <c r="AI351" s="384"/>
      <c r="AJ351" s="384"/>
      <c r="AK351" s="384"/>
      <c r="AL351" s="384"/>
      <c r="AM351" s="384"/>
      <c r="AN351" s="384"/>
      <c r="AO351" s="384"/>
    </row>
    <row r="352" spans="1:41" ht="15.75" customHeight="1">
      <c r="A352" s="349" t="s">
        <v>925</v>
      </c>
      <c r="B352" s="378">
        <f>('Pivot Table for Data Exchange'!$N$114)*100</f>
        <v>70.282724523592378</v>
      </c>
      <c r="C352" s="378">
        <f>('Pivot Table for Data Exchange'!$N$117)*100</f>
        <v>3.8040608649738399</v>
      </c>
      <c r="D352" s="379">
        <f t="shared" si="76"/>
        <v>25.913214611433784</v>
      </c>
      <c r="E352" s="378">
        <f>('Pivot Table for Data Exchange'!$N$120)*100</f>
        <v>25.913214611433784</v>
      </c>
      <c r="F352" s="378">
        <f>('Pivot Table for Data Exchange'!$N$123)*100</f>
        <v>0</v>
      </c>
      <c r="G352" s="386">
        <f>('Pivot Table for Data Exchange'!$N$126)*100</f>
        <v>0</v>
      </c>
      <c r="H352" s="378">
        <f>('Pivot Table for Data Exchange'!$N$129)*100</f>
        <v>0</v>
      </c>
      <c r="I352" s="349"/>
      <c r="J352" s="417"/>
      <c r="K352" s="417"/>
      <c r="L352" s="417"/>
      <c r="M352" s="417"/>
      <c r="N352" s="417"/>
      <c r="O352" s="417"/>
      <c r="P352" s="417"/>
      <c r="Q352" s="383">
        <f t="shared" si="74"/>
        <v>100</v>
      </c>
      <c r="R352" s="383"/>
      <c r="S352" s="384"/>
      <c r="U352" s="384"/>
      <c r="V352" s="384"/>
      <c r="W352" s="384"/>
      <c r="X352" s="384"/>
      <c r="Y352" s="384"/>
      <c r="Z352" s="384"/>
      <c r="AA352" s="384"/>
      <c r="AB352" s="384"/>
      <c r="AC352" s="384"/>
      <c r="AD352" s="384"/>
      <c r="AE352" s="384"/>
      <c r="AF352" s="384"/>
      <c r="AG352" s="384"/>
      <c r="AH352" s="384"/>
      <c r="AI352" s="384"/>
      <c r="AJ352" s="384"/>
      <c r="AK352" s="384"/>
      <c r="AL352" s="384"/>
      <c r="AM352" s="384"/>
      <c r="AN352" s="384"/>
      <c r="AO352" s="384"/>
    </row>
    <row r="353" spans="1:41" ht="15.75" customHeight="1">
      <c r="B353" s="378"/>
      <c r="C353" s="378"/>
      <c r="D353" s="379"/>
      <c r="E353" s="378"/>
      <c r="F353" s="378"/>
      <c r="G353" s="386"/>
      <c r="H353" s="378"/>
      <c r="I353" s="349"/>
      <c r="J353" s="417"/>
      <c r="K353" s="417"/>
      <c r="L353" s="417"/>
      <c r="M353" s="417"/>
      <c r="N353" s="417"/>
      <c r="O353" s="417"/>
      <c r="P353" s="417"/>
      <c r="Q353" s="383">
        <f t="shared" si="74"/>
        <v>0</v>
      </c>
      <c r="R353" s="383"/>
      <c r="S353" s="384"/>
      <c r="U353" s="384"/>
      <c r="V353" s="384"/>
      <c r="W353" s="384"/>
      <c r="X353" s="384"/>
      <c r="Y353" s="384"/>
      <c r="Z353" s="384"/>
      <c r="AA353" s="384"/>
      <c r="AB353" s="384"/>
      <c r="AC353" s="384"/>
      <c r="AD353" s="384"/>
      <c r="AE353" s="384"/>
      <c r="AF353" s="384"/>
      <c r="AG353" s="384"/>
      <c r="AH353" s="384"/>
      <c r="AI353" s="384"/>
      <c r="AJ353" s="384"/>
      <c r="AK353" s="384"/>
      <c r="AL353" s="384"/>
      <c r="AM353" s="384"/>
      <c r="AN353" s="384"/>
      <c r="AO353" s="384"/>
    </row>
    <row r="354" spans="1:41" ht="15.75" customHeight="1">
      <c r="A354" s="349" t="s">
        <v>889</v>
      </c>
      <c r="B354" s="378">
        <f>('Pivot Table for Data Exchange'!$N$150)*100</f>
        <v>52.660764665823521</v>
      </c>
      <c r="C354" s="378">
        <f>('Pivot Table for Data Exchange'!$N$153)*100</f>
        <v>16.665045237863605</v>
      </c>
      <c r="D354" s="379">
        <f t="shared" ref="D354:D357" si="77">SUM(E354:G354)</f>
        <v>30.67419009631287</v>
      </c>
      <c r="E354" s="378">
        <f>('Pivot Table for Data Exchange'!$N$156)*100</f>
        <v>30.67419009631287</v>
      </c>
      <c r="F354" s="378">
        <f>('Pivot Table for Data Exchange'!$N$159)*100</f>
        <v>0</v>
      </c>
      <c r="G354" s="386">
        <f>('Pivot Table for Data Exchange'!$N$162)*100</f>
        <v>0</v>
      </c>
      <c r="H354" s="378">
        <f>('Pivot Table for Data Exchange'!$N$165)*100</f>
        <v>0</v>
      </c>
      <c r="I354" s="349"/>
      <c r="J354" s="417"/>
      <c r="K354" s="417"/>
      <c r="L354" s="417"/>
      <c r="M354" s="417"/>
      <c r="N354" s="417"/>
      <c r="O354" s="417"/>
      <c r="P354" s="417"/>
      <c r="Q354" s="383">
        <f t="shared" si="74"/>
        <v>100</v>
      </c>
      <c r="R354" s="383"/>
      <c r="S354" s="384"/>
      <c r="T354" s="384"/>
      <c r="U354" s="384"/>
      <c r="V354" s="384"/>
      <c r="W354" s="384"/>
      <c r="X354" s="384"/>
      <c r="Y354" s="384"/>
      <c r="Z354" s="384"/>
      <c r="AA354" s="384"/>
      <c r="AB354" s="384"/>
      <c r="AC354" s="384"/>
      <c r="AD354" s="384"/>
      <c r="AE354" s="384"/>
      <c r="AF354" s="384"/>
      <c r="AG354" s="384"/>
      <c r="AH354" s="384"/>
      <c r="AI354" s="384"/>
      <c r="AJ354" s="384"/>
      <c r="AK354" s="384"/>
      <c r="AL354" s="384"/>
      <c r="AM354" s="384"/>
      <c r="AN354" s="384"/>
      <c r="AO354" s="384"/>
    </row>
    <row r="355" spans="1:41" ht="15.75" customHeight="1">
      <c r="A355" s="349" t="s">
        <v>890</v>
      </c>
      <c r="B355" s="378">
        <f>('Pivot Table for Data Exchange'!$N$186)*100</f>
        <v>51.989061787876814</v>
      </c>
      <c r="C355" s="378">
        <f>('Pivot Table for Data Exchange'!$N$189)*100</f>
        <v>3.3457581873819913</v>
      </c>
      <c r="D355" s="379">
        <f t="shared" si="77"/>
        <v>44.665180024741197</v>
      </c>
      <c r="E355" s="378">
        <f>('Pivot Table for Data Exchange'!$N$192)*100</f>
        <v>44.665180024741197</v>
      </c>
      <c r="F355" s="378">
        <f>('Pivot Table for Data Exchange'!$N$195)*100</f>
        <v>0</v>
      </c>
      <c r="G355" s="386">
        <f>('Pivot Table for Data Exchange'!$N$198)*100</f>
        <v>0</v>
      </c>
      <c r="H355" s="378">
        <f>('Pivot Table for Data Exchange'!$N$201)*100</f>
        <v>0</v>
      </c>
      <c r="I355" s="349"/>
      <c r="J355" s="417"/>
      <c r="K355" s="417"/>
      <c r="L355" s="417"/>
      <c r="M355" s="417"/>
      <c r="N355" s="417"/>
      <c r="O355" s="417"/>
      <c r="P355" s="417"/>
      <c r="Q355" s="383">
        <f t="shared" si="74"/>
        <v>100</v>
      </c>
      <c r="R355" s="383"/>
      <c r="S355" s="384"/>
      <c r="T355" s="384"/>
      <c r="U355" s="384"/>
      <c r="V355" s="384"/>
      <c r="W355" s="384"/>
      <c r="X355" s="384"/>
      <c r="Y355" s="384"/>
      <c r="Z355" s="384"/>
      <c r="AA355" s="384"/>
      <c r="AB355" s="384"/>
      <c r="AC355" s="384"/>
      <c r="AD355" s="384"/>
      <c r="AE355" s="384"/>
      <c r="AF355" s="384"/>
      <c r="AG355" s="384"/>
      <c r="AH355" s="384"/>
      <c r="AI355" s="384"/>
      <c r="AJ355" s="384"/>
      <c r="AK355" s="384"/>
      <c r="AL355" s="384"/>
      <c r="AM355" s="384"/>
      <c r="AN355" s="384"/>
      <c r="AO355" s="384"/>
    </row>
    <row r="356" spans="1:41" ht="15.75" customHeight="1">
      <c r="A356" s="349" t="s">
        <v>891</v>
      </c>
      <c r="B356" s="378">
        <f>('Pivot Table for Data Exchange'!$N$222)*100</f>
        <v>75.817453761510151</v>
      </c>
      <c r="C356" s="378">
        <f>('Pivot Table for Data Exchange'!$N$225)*100</f>
        <v>0</v>
      </c>
      <c r="D356" s="379">
        <f t="shared" si="77"/>
        <v>24.182546238489856</v>
      </c>
      <c r="E356" s="378">
        <f>('Pivot Table for Data Exchange'!$N$228)*100</f>
        <v>24.182546238489856</v>
      </c>
      <c r="F356" s="378">
        <f>('Pivot Table for Data Exchange'!$N$231)*100</f>
        <v>0</v>
      </c>
      <c r="G356" s="386">
        <f>('Pivot Table for Data Exchange'!$N$234)*100</f>
        <v>0</v>
      </c>
      <c r="H356" s="378">
        <f>('Pivot Table for Data Exchange'!$N$237)*100</f>
        <v>0</v>
      </c>
      <c r="I356" s="349"/>
      <c r="J356" s="417"/>
      <c r="K356" s="417"/>
      <c r="L356" s="417"/>
      <c r="M356" s="417"/>
      <c r="N356" s="417"/>
      <c r="O356" s="417"/>
      <c r="P356" s="417"/>
      <c r="Q356" s="383">
        <f t="shared" si="74"/>
        <v>100</v>
      </c>
      <c r="R356" s="383"/>
      <c r="S356" s="384"/>
      <c r="T356" s="358"/>
      <c r="U356" s="384"/>
      <c r="V356" s="384"/>
      <c r="W356" s="384"/>
      <c r="X356" s="384"/>
      <c r="Y356" s="384"/>
      <c r="Z356" s="384"/>
      <c r="AA356" s="384"/>
      <c r="AB356" s="384"/>
      <c r="AC356" s="384"/>
      <c r="AD356" s="384"/>
      <c r="AE356" s="384"/>
      <c r="AF356" s="384"/>
      <c r="AG356" s="384"/>
      <c r="AH356" s="384"/>
      <c r="AI356" s="384"/>
      <c r="AJ356" s="384"/>
      <c r="AK356" s="384"/>
      <c r="AL356" s="384"/>
      <c r="AM356" s="384"/>
      <c r="AN356" s="384"/>
      <c r="AO356" s="384"/>
    </row>
    <row r="357" spans="1:41" ht="15.75" customHeight="1">
      <c r="A357" s="349" t="s">
        <v>892</v>
      </c>
      <c r="B357" s="378">
        <f>('Pivot Table for Data Exchange'!$N$258)*100</f>
        <v>74.499612890124254</v>
      </c>
      <c r="C357" s="378">
        <f>('Pivot Table for Data Exchange'!$N$261)*100</f>
        <v>4.9721407810735005</v>
      </c>
      <c r="D357" s="379">
        <f t="shared" si="77"/>
        <v>20.528246328802243</v>
      </c>
      <c r="E357" s="378">
        <f>('Pivot Table for Data Exchange'!$N$264)*100</f>
        <v>19.498280216781531</v>
      </c>
      <c r="F357" s="378">
        <f>('Pivot Table for Data Exchange'!$N$267)*100</f>
        <v>1.0299661120207135</v>
      </c>
      <c r="G357" s="386">
        <f>('Pivot Table for Data Exchange'!$N$270)*100</f>
        <v>0</v>
      </c>
      <c r="H357" s="378">
        <f>('Pivot Table for Data Exchange'!$N$273)*100</f>
        <v>0</v>
      </c>
      <c r="I357" s="349"/>
      <c r="J357" s="417"/>
      <c r="K357" s="417"/>
      <c r="L357" s="417"/>
      <c r="M357" s="417"/>
      <c r="N357" s="417"/>
      <c r="O357" s="417"/>
      <c r="P357" s="417"/>
      <c r="Q357" s="383">
        <f t="shared" si="74"/>
        <v>100</v>
      </c>
      <c r="R357" s="383"/>
      <c r="S357" s="384"/>
      <c r="U357" s="384"/>
      <c r="V357" s="384"/>
      <c r="W357" s="384"/>
      <c r="X357" s="384"/>
      <c r="Y357" s="384"/>
      <c r="Z357" s="384"/>
      <c r="AA357" s="384"/>
      <c r="AB357" s="384"/>
      <c r="AC357" s="384"/>
      <c r="AD357" s="384"/>
      <c r="AE357" s="384"/>
      <c r="AF357" s="384"/>
      <c r="AG357" s="384"/>
      <c r="AH357" s="384"/>
      <c r="AI357" s="384"/>
      <c r="AJ357" s="384"/>
      <c r="AK357" s="384"/>
      <c r="AL357" s="384"/>
      <c r="AM357" s="384"/>
      <c r="AN357" s="384"/>
      <c r="AO357" s="384"/>
    </row>
    <row r="358" spans="1:41" ht="12.75" customHeight="1">
      <c r="B358" s="378"/>
      <c r="C358" s="378"/>
      <c r="D358" s="379"/>
      <c r="E358" s="378"/>
      <c r="F358" s="378"/>
      <c r="G358" s="386"/>
      <c r="H358" s="378"/>
      <c r="I358" s="349"/>
      <c r="J358" s="417"/>
      <c r="K358" s="417"/>
      <c r="L358" s="417"/>
      <c r="M358" s="417"/>
      <c r="N358" s="417"/>
      <c r="O358" s="417"/>
      <c r="P358" s="417"/>
      <c r="Q358" s="383">
        <f t="shared" si="74"/>
        <v>0</v>
      </c>
      <c r="R358" s="383"/>
      <c r="S358" s="384"/>
      <c r="U358" s="384"/>
      <c r="V358" s="384"/>
      <c r="W358" s="384"/>
      <c r="X358" s="384"/>
      <c r="Y358" s="384"/>
      <c r="Z358" s="384"/>
      <c r="AA358" s="384"/>
      <c r="AB358" s="384"/>
      <c r="AC358" s="384"/>
      <c r="AD358" s="384"/>
      <c r="AE358" s="384"/>
      <c r="AF358" s="384"/>
      <c r="AG358" s="384"/>
      <c r="AH358" s="384"/>
      <c r="AI358" s="384"/>
      <c r="AJ358" s="384"/>
      <c r="AK358" s="384"/>
      <c r="AL358" s="384"/>
      <c r="AM358" s="384"/>
      <c r="AN358" s="384"/>
      <c r="AO358" s="384"/>
    </row>
    <row r="359" spans="1:41" ht="15.75" customHeight="1">
      <c r="A359" s="349" t="s">
        <v>940</v>
      </c>
      <c r="B359" s="378">
        <f>('Pivot Table for Data Exchange'!$N$294)*100</f>
        <v>83.087514181874127</v>
      </c>
      <c r="C359" s="378">
        <f>('Pivot Table for Data Exchange'!$N$297)*100</f>
        <v>1.1566640386131568</v>
      </c>
      <c r="D359" s="379">
        <f t="shared" ref="D359:D361" si="78">SUM(E359:G359)</f>
        <v>15.755821779512722</v>
      </c>
      <c r="E359" s="378">
        <f>('Pivot Table for Data Exchange'!$N$300)*100</f>
        <v>15.755821779512722</v>
      </c>
      <c r="F359" s="378">
        <f>('Pivot Table for Data Exchange'!$N$303)*100</f>
        <v>0</v>
      </c>
      <c r="G359" s="386">
        <f>('Pivot Table for Data Exchange'!$N$306)*100</f>
        <v>0</v>
      </c>
      <c r="H359" s="378">
        <f>('Pivot Table for Data Exchange'!$N$309)*100</f>
        <v>0</v>
      </c>
      <c r="I359" s="424"/>
      <c r="J359" s="417"/>
      <c r="K359" s="417"/>
      <c r="L359" s="417"/>
      <c r="M359" s="417"/>
      <c r="N359" s="417"/>
      <c r="O359" s="417"/>
      <c r="P359" s="417"/>
      <c r="Q359" s="383">
        <f t="shared" si="74"/>
        <v>100</v>
      </c>
      <c r="R359" s="383"/>
      <c r="S359" s="384"/>
      <c r="T359" s="384"/>
      <c r="U359" s="384"/>
      <c r="V359" s="384"/>
      <c r="W359" s="384"/>
      <c r="X359" s="384"/>
      <c r="Y359" s="384"/>
      <c r="Z359" s="384"/>
      <c r="AA359" s="384"/>
      <c r="AB359" s="384"/>
      <c r="AC359" s="384"/>
      <c r="AD359" s="384"/>
      <c r="AE359" s="384"/>
      <c r="AF359" s="384"/>
      <c r="AG359" s="384"/>
      <c r="AH359" s="384"/>
      <c r="AI359" s="384"/>
      <c r="AJ359" s="384"/>
      <c r="AK359" s="384"/>
      <c r="AL359" s="384"/>
      <c r="AM359" s="384"/>
      <c r="AN359" s="384"/>
      <c r="AO359" s="384"/>
    </row>
    <row r="360" spans="1:41" ht="15.75" customHeight="1">
      <c r="A360" s="349" t="s">
        <v>894</v>
      </c>
      <c r="B360" s="378">
        <f>('Pivot Table for Data Exchange'!$N$330)*100</f>
        <v>30.390813638114274</v>
      </c>
      <c r="C360" s="378">
        <f>('Pivot Table for Data Exchange'!$N$333)*100</f>
        <v>2.810712130655451</v>
      </c>
      <c r="D360" s="379">
        <f t="shared" si="78"/>
        <v>66.798474231230259</v>
      </c>
      <c r="E360" s="378">
        <f>('Pivot Table for Data Exchange'!$N$336)*100</f>
        <v>65.432714553341015</v>
      </c>
      <c r="F360" s="378">
        <f>('Pivot Table for Data Exchange'!$N$339)*100</f>
        <v>1.0051529421739409</v>
      </c>
      <c r="G360" s="386">
        <f>('Pivot Table for Data Exchange'!$N$342)*100</f>
        <v>0.3606067357153101</v>
      </c>
      <c r="H360" s="378">
        <f>('Pivot Table for Data Exchange'!$N$345)*100</f>
        <v>0</v>
      </c>
      <c r="I360" s="349"/>
      <c r="J360" s="417"/>
      <c r="K360" s="417"/>
      <c r="L360" s="417"/>
      <c r="M360" s="417"/>
      <c r="N360" s="417"/>
      <c r="O360" s="417"/>
      <c r="P360" s="417"/>
      <c r="Q360" s="383">
        <f t="shared" si="74"/>
        <v>99.999999999999986</v>
      </c>
      <c r="R360" s="383"/>
      <c r="S360" s="384"/>
      <c r="T360" s="384"/>
      <c r="U360" s="384"/>
      <c r="V360" s="384"/>
      <c r="W360" s="384"/>
      <c r="X360" s="384"/>
      <c r="Y360" s="384"/>
      <c r="Z360" s="384"/>
      <c r="AA360" s="384"/>
      <c r="AB360" s="384"/>
      <c r="AC360" s="384"/>
      <c r="AD360" s="384"/>
      <c r="AE360" s="384"/>
      <c r="AF360" s="384"/>
      <c r="AG360" s="384"/>
      <c r="AH360" s="384"/>
      <c r="AI360" s="384"/>
      <c r="AJ360" s="384"/>
      <c r="AK360" s="384"/>
      <c r="AL360" s="384"/>
      <c r="AM360" s="384"/>
      <c r="AN360" s="384"/>
      <c r="AO360" s="384"/>
    </row>
    <row r="361" spans="1:41" ht="15.75" customHeight="1">
      <c r="A361" s="349" t="s">
        <v>895</v>
      </c>
      <c r="B361" s="378">
        <f>('Pivot Table for Data Exchange'!$N$366)*100</f>
        <v>69.606762650658922</v>
      </c>
      <c r="C361" s="378">
        <f>('Pivot Table for Data Exchange'!$N$369)*100</f>
        <v>3.4030155231440227</v>
      </c>
      <c r="D361" s="379">
        <f t="shared" si="78"/>
        <v>26.990221826197061</v>
      </c>
      <c r="E361" s="378">
        <f>('Pivot Table for Data Exchange'!$N$372)*100</f>
        <v>23.556429676874735</v>
      </c>
      <c r="F361" s="378">
        <f>('Pivot Table for Data Exchange'!$N$375)*100</f>
        <v>3.4041879660460537</v>
      </c>
      <c r="G361" s="386">
        <f>('Pivot Table for Data Exchange'!$N$378)*100</f>
        <v>2.9604183276274443E-2</v>
      </c>
      <c r="H361" s="378">
        <f>('Pivot Table for Data Exchange'!$N$381)*100</f>
        <v>0</v>
      </c>
      <c r="I361" s="349"/>
      <c r="J361" s="417"/>
      <c r="K361" s="417"/>
      <c r="L361" s="417"/>
      <c r="M361" s="417"/>
      <c r="N361" s="417"/>
      <c r="O361" s="417"/>
      <c r="P361" s="417"/>
      <c r="Q361" s="383">
        <f t="shared" si="74"/>
        <v>100</v>
      </c>
      <c r="R361" s="383"/>
      <c r="S361" s="384"/>
      <c r="T361" s="358"/>
      <c r="U361" s="384"/>
      <c r="V361" s="384"/>
      <c r="W361" s="384"/>
      <c r="X361" s="384"/>
      <c r="Y361" s="384"/>
      <c r="Z361" s="384"/>
      <c r="AA361" s="384"/>
      <c r="AB361" s="384"/>
      <c r="AC361" s="384"/>
      <c r="AD361" s="384"/>
      <c r="AE361" s="384"/>
      <c r="AF361" s="384"/>
      <c r="AG361" s="384"/>
      <c r="AH361" s="384"/>
      <c r="AI361" s="384"/>
      <c r="AJ361" s="384"/>
      <c r="AK361" s="384"/>
      <c r="AL361" s="384"/>
      <c r="AM361" s="384"/>
      <c r="AN361" s="384"/>
      <c r="AO361" s="384"/>
    </row>
    <row r="362" spans="1:41" ht="15.75" customHeight="1">
      <c r="A362" s="349" t="s">
        <v>896</v>
      </c>
      <c r="B362" s="378">
        <f>('Pivot Table for Data Exchange'!$N$402)*100</f>
        <v>74.68524425046165</v>
      </c>
      <c r="C362" s="378">
        <f>('Pivot Table for Data Exchange'!$N$405)*100</f>
        <v>4.9300474539074752</v>
      </c>
      <c r="D362" s="379">
        <f>SUM(E362:G362)</f>
        <v>20.384708295630883</v>
      </c>
      <c r="E362" s="378">
        <f>('Pivot Table for Data Exchange'!$N$408)*100</f>
        <v>18.021430004462879</v>
      </c>
      <c r="F362" s="378">
        <f>('Pivot Table for Data Exchange'!$N$411)*100</f>
        <v>1.2221735445489423</v>
      </c>
      <c r="G362" s="386">
        <f>('Pivot Table for Data Exchange'!$N$414)*100</f>
        <v>1.1411047466190627</v>
      </c>
      <c r="H362" s="378">
        <f>('Pivot Table for Data Exchange'!$N$417)*100</f>
        <v>0</v>
      </c>
      <c r="I362" s="349"/>
      <c r="J362" s="417"/>
      <c r="K362" s="417"/>
      <c r="L362" s="417"/>
      <c r="M362" s="417"/>
      <c r="N362" s="417"/>
      <c r="O362" s="417"/>
      <c r="P362" s="417"/>
      <c r="Q362" s="383">
        <f t="shared" si="74"/>
        <v>100.00000000000001</v>
      </c>
      <c r="R362" s="383"/>
      <c r="S362" s="384"/>
      <c r="T362" s="384"/>
      <c r="U362" s="384"/>
      <c r="V362" s="384"/>
      <c r="W362" s="384"/>
      <c r="X362" s="384"/>
      <c r="Y362" s="384"/>
      <c r="Z362" s="384"/>
      <c r="AA362" s="384"/>
      <c r="AB362" s="384"/>
      <c r="AC362" s="384"/>
      <c r="AD362" s="384"/>
      <c r="AE362" s="384"/>
      <c r="AF362" s="384"/>
      <c r="AG362" s="384"/>
      <c r="AH362" s="384"/>
      <c r="AI362" s="384"/>
      <c r="AJ362" s="384"/>
      <c r="AK362" s="384"/>
      <c r="AL362" s="384"/>
      <c r="AM362" s="384"/>
      <c r="AN362" s="384"/>
      <c r="AO362" s="384"/>
    </row>
    <row r="363" spans="1:41" ht="12" customHeight="1">
      <c r="B363" s="378"/>
      <c r="C363" s="378"/>
      <c r="D363" s="379"/>
      <c r="E363" s="378"/>
      <c r="F363" s="378"/>
      <c r="G363" s="386"/>
      <c r="H363" s="378"/>
      <c r="I363" s="349"/>
      <c r="J363" s="417"/>
      <c r="K363" s="417"/>
      <c r="L363" s="417"/>
      <c r="M363" s="417"/>
      <c r="N363" s="417"/>
      <c r="O363" s="417"/>
      <c r="P363" s="417"/>
      <c r="Q363" s="383">
        <f t="shared" si="74"/>
        <v>0</v>
      </c>
      <c r="R363" s="383"/>
      <c r="S363" s="384"/>
      <c r="T363" s="384"/>
      <c r="U363" s="384"/>
      <c r="V363" s="384"/>
      <c r="W363" s="384"/>
      <c r="X363" s="384"/>
      <c r="Y363" s="384"/>
      <c r="Z363" s="384"/>
      <c r="AA363" s="384"/>
      <c r="AB363" s="384"/>
      <c r="AC363" s="384"/>
      <c r="AD363" s="384"/>
      <c r="AE363" s="384"/>
      <c r="AF363" s="384"/>
      <c r="AG363" s="384"/>
      <c r="AH363" s="384"/>
      <c r="AI363" s="384"/>
      <c r="AJ363" s="384"/>
      <c r="AK363" s="384"/>
      <c r="AL363" s="384"/>
      <c r="AM363" s="384"/>
      <c r="AN363" s="384"/>
      <c r="AO363" s="384"/>
    </row>
    <row r="364" spans="1:41" ht="15.75" customHeight="1">
      <c r="A364" s="349" t="s">
        <v>897</v>
      </c>
      <c r="B364" s="378">
        <f>('Pivot Table for Data Exchange'!$N$438)*100</f>
        <v>33.917369241219482</v>
      </c>
      <c r="C364" s="378">
        <f>('Pivot Table for Data Exchange'!$N$441)*100</f>
        <v>39.555280297278941</v>
      </c>
      <c r="D364" s="379">
        <f>SUM(E364:G364)</f>
        <v>26.201702161665402</v>
      </c>
      <c r="E364" s="378">
        <f>('Pivot Table for Data Exchange'!$N$444)*100</f>
        <v>18.635873256882569</v>
      </c>
      <c r="F364" s="378">
        <f>('Pivot Table for Data Exchange'!$N$447)*100</f>
        <v>5.4800815119670752</v>
      </c>
      <c r="G364" s="386">
        <f>('Pivot Table for Data Exchange'!$N$450)*100</f>
        <v>2.085747392815759</v>
      </c>
      <c r="H364" s="378">
        <f>('Pivot Table for Data Exchange'!$N$453)*100</f>
        <v>0.32564829983617694</v>
      </c>
      <c r="I364" s="349"/>
      <c r="J364" s="417"/>
      <c r="K364" s="417"/>
      <c r="L364" s="417"/>
      <c r="M364" s="417"/>
      <c r="N364" s="417"/>
      <c r="O364" s="417"/>
      <c r="P364" s="417"/>
      <c r="Q364" s="383">
        <f t="shared" si="74"/>
        <v>99.999999999999986</v>
      </c>
      <c r="R364" s="383"/>
      <c r="S364" s="384"/>
      <c r="T364" s="384"/>
      <c r="U364" s="384"/>
      <c r="V364" s="384"/>
      <c r="W364" s="384"/>
      <c r="X364" s="384"/>
      <c r="Y364" s="384"/>
      <c r="Z364" s="384"/>
      <c r="AA364" s="384"/>
      <c r="AB364" s="384"/>
      <c r="AC364" s="384"/>
      <c r="AD364" s="384"/>
      <c r="AE364" s="384"/>
      <c r="AF364" s="384"/>
      <c r="AG364" s="384"/>
      <c r="AH364" s="384"/>
      <c r="AI364" s="384"/>
      <c r="AJ364" s="384"/>
      <c r="AK364" s="384"/>
      <c r="AL364" s="384"/>
      <c r="AM364" s="384"/>
      <c r="AN364" s="384"/>
      <c r="AO364" s="384"/>
    </row>
    <row r="365" spans="1:41" ht="15.75" customHeight="1">
      <c r="A365" s="349" t="s">
        <v>898</v>
      </c>
      <c r="B365" s="378">
        <f>('Pivot Table for Data Exchange'!$N$474)*100</f>
        <v>50.503040799065616</v>
      </c>
      <c r="C365" s="378">
        <f>('Pivot Table for Data Exchange'!$N$477)*100</f>
        <v>12.925007048209755</v>
      </c>
      <c r="D365" s="379">
        <f>SUM(E365:G365)</f>
        <v>36.571952152724634</v>
      </c>
      <c r="E365" s="378">
        <f>('Pivot Table for Data Exchange'!$N$480)*100</f>
        <v>33.968142091908653</v>
      </c>
      <c r="F365" s="378">
        <f>('Pivot Table for Data Exchange'!$N$483)*100</f>
        <v>1.6170606951548594</v>
      </c>
      <c r="G365" s="386">
        <f>('Pivot Table for Data Exchange'!$N$486)*100</f>
        <v>0.98674936566112204</v>
      </c>
      <c r="H365" s="378">
        <f>('Pivot Table for Data Exchange'!$N$489)*100</f>
        <v>0</v>
      </c>
      <c r="I365" s="349"/>
      <c r="J365" s="417"/>
      <c r="K365" s="417"/>
      <c r="L365" s="417"/>
      <c r="M365" s="417"/>
      <c r="N365" s="417"/>
      <c r="O365" s="417"/>
      <c r="P365" s="417"/>
      <c r="Q365" s="383">
        <f t="shared" si="74"/>
        <v>100</v>
      </c>
      <c r="R365" s="383"/>
      <c r="S365" s="384"/>
      <c r="T365" s="384"/>
      <c r="U365" s="384"/>
      <c r="V365" s="384"/>
      <c r="W365" s="384"/>
      <c r="X365" s="384"/>
      <c r="Y365" s="384"/>
      <c r="Z365" s="384"/>
      <c r="AA365" s="384"/>
      <c r="AB365" s="384"/>
      <c r="AC365" s="384"/>
      <c r="AD365" s="384"/>
      <c r="AE365" s="384"/>
      <c r="AF365" s="384"/>
      <c r="AG365" s="384"/>
      <c r="AH365" s="384"/>
      <c r="AI365" s="384"/>
      <c r="AJ365" s="384"/>
      <c r="AK365" s="384"/>
      <c r="AL365" s="384"/>
      <c r="AM365" s="384"/>
      <c r="AN365" s="384"/>
      <c r="AO365" s="384"/>
    </row>
    <row r="366" spans="1:41" ht="15.75" customHeight="1">
      <c r="A366" s="349" t="s">
        <v>899</v>
      </c>
      <c r="B366" s="378">
        <f>('Pivot Table for Data Exchange'!$N$510)*100</f>
        <v>38.346369636163494</v>
      </c>
      <c r="C366" s="378">
        <f>('Pivot Table for Data Exchange'!$N$513)*100</f>
        <v>23.244705870943029</v>
      </c>
      <c r="D366" s="379">
        <f t="shared" ref="D366" si="79">SUM(E366:G366)</f>
        <v>38.408924492893476</v>
      </c>
      <c r="E366" s="378">
        <f>('Pivot Table for Data Exchange'!$N$516)*100</f>
        <v>30.753955746075771</v>
      </c>
      <c r="F366" s="378">
        <f>('Pivot Table for Data Exchange'!$N$519)*100</f>
        <v>7.654968746817703</v>
      </c>
      <c r="G366" s="386">
        <f>('Pivot Table for Data Exchange'!$N$522)*100</f>
        <v>0</v>
      </c>
      <c r="H366" s="378">
        <f>('Pivot Table for Data Exchange'!$N$525)*100</f>
        <v>0</v>
      </c>
      <c r="I366" s="349"/>
      <c r="J366" s="417"/>
      <c r="K366" s="417"/>
      <c r="L366" s="417"/>
      <c r="M366" s="417"/>
      <c r="N366" s="417"/>
      <c r="O366" s="417"/>
      <c r="P366" s="417"/>
      <c r="Q366" s="383">
        <f t="shared" si="74"/>
        <v>100</v>
      </c>
      <c r="R366" s="383"/>
      <c r="S366" s="384"/>
      <c r="T366" s="384"/>
      <c r="U366" s="384"/>
      <c r="V366" s="384"/>
      <c r="W366" s="384"/>
      <c r="X366" s="384"/>
      <c r="Y366" s="384"/>
      <c r="Z366" s="384"/>
      <c r="AA366" s="384"/>
      <c r="AB366" s="384"/>
      <c r="AC366" s="384"/>
      <c r="AD366" s="384"/>
      <c r="AE366" s="384"/>
      <c r="AF366" s="384"/>
      <c r="AG366" s="384"/>
      <c r="AH366" s="384"/>
      <c r="AI366" s="384"/>
      <c r="AJ366" s="384"/>
      <c r="AK366" s="384"/>
      <c r="AL366" s="384"/>
      <c r="AM366" s="384"/>
      <c r="AN366" s="384"/>
      <c r="AO366" s="384"/>
    </row>
    <row r="367" spans="1:41" ht="15.75" customHeight="1">
      <c r="A367" s="355" t="s">
        <v>900</v>
      </c>
      <c r="B367" s="391">
        <f>('Pivot Table for Data Exchange'!$N$546)*100</f>
        <v>59.869364959637949</v>
      </c>
      <c r="C367" s="391">
        <f>('Pivot Table for Data Exchange'!$N$549)*100</f>
        <v>13.334403235383801</v>
      </c>
      <c r="D367" s="392">
        <f>SUM(E367:G367)</f>
        <v>26.796231804978255</v>
      </c>
      <c r="E367" s="391">
        <f>('Pivot Table for Data Exchange'!$N$552)*100</f>
        <v>24.55681982314519</v>
      </c>
      <c r="F367" s="391">
        <f>('Pivot Table for Data Exchange'!$N$555)*100</f>
        <v>2.2394119818330633</v>
      </c>
      <c r="G367" s="393">
        <f>('Pivot Table for Data Exchange'!$N$558)*100</f>
        <v>0</v>
      </c>
      <c r="H367" s="391">
        <f>('Pivot Table for Data Exchange'!$N$561)*100</f>
        <v>0</v>
      </c>
      <c r="I367" s="349"/>
      <c r="J367" s="417"/>
      <c r="K367" s="417"/>
      <c r="L367" s="417"/>
      <c r="M367" s="417"/>
      <c r="N367" s="417"/>
      <c r="O367" s="417"/>
      <c r="P367" s="417"/>
      <c r="Q367" s="383">
        <f t="shared" si="74"/>
        <v>100</v>
      </c>
      <c r="R367" s="383"/>
      <c r="S367" s="384"/>
      <c r="T367" s="384"/>
      <c r="U367" s="384"/>
      <c r="V367" s="384"/>
      <c r="W367" s="384"/>
      <c r="X367" s="384"/>
      <c r="Y367" s="384"/>
      <c r="Z367" s="384"/>
      <c r="AA367" s="384"/>
      <c r="AB367" s="384"/>
      <c r="AC367" s="384"/>
      <c r="AD367" s="384"/>
      <c r="AE367" s="384"/>
      <c r="AF367" s="384"/>
      <c r="AG367" s="384"/>
      <c r="AH367" s="384"/>
      <c r="AI367" s="384"/>
      <c r="AJ367" s="384"/>
      <c r="AK367" s="384"/>
      <c r="AL367" s="384"/>
      <c r="AM367" s="384"/>
      <c r="AN367" s="384"/>
      <c r="AO367" s="384"/>
    </row>
    <row r="368" spans="1:41" s="396" customFormat="1" ht="11.25" customHeight="1">
      <c r="A368" s="397" t="s">
        <v>926</v>
      </c>
      <c r="B368" s="398"/>
      <c r="C368" s="398"/>
      <c r="D368" s="399"/>
      <c r="E368" s="398"/>
      <c r="F368" s="399"/>
      <c r="G368" s="399"/>
      <c r="H368" s="398"/>
      <c r="I368" s="407"/>
      <c r="J368" s="398"/>
      <c r="K368" s="398"/>
      <c r="L368" s="399"/>
      <c r="M368" s="398"/>
      <c r="N368" s="399"/>
      <c r="O368" s="399"/>
      <c r="P368" s="398"/>
      <c r="Q368" s="383">
        <f t="shared" si="74"/>
        <v>0</v>
      </c>
      <c r="R368" s="418"/>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row>
    <row r="369" spans="1:41" s="396" customFormat="1" ht="24" customHeight="1">
      <c r="A369" s="501" t="s">
        <v>941</v>
      </c>
      <c r="B369" s="518"/>
      <c r="C369" s="518"/>
      <c r="D369" s="518"/>
      <c r="E369" s="518"/>
      <c r="F369" s="518"/>
      <c r="G369" s="518"/>
      <c r="H369" s="518"/>
      <c r="I369" s="407"/>
      <c r="P369" s="409"/>
      <c r="Q369" s="383">
        <f t="shared" si="74"/>
        <v>0</v>
      </c>
      <c r="R369" s="419"/>
    </row>
    <row r="370" spans="1:41" s="396" customFormat="1" ht="13.5" customHeight="1">
      <c r="A370" s="407"/>
      <c r="I370" s="407"/>
      <c r="Q370" s="383">
        <f t="shared" si="74"/>
        <v>0</v>
      </c>
      <c r="R370" s="419"/>
    </row>
    <row r="371" spans="1:41" s="396" customFormat="1">
      <c r="B371" s="398"/>
      <c r="C371" s="398"/>
      <c r="D371" s="399"/>
      <c r="E371" s="398"/>
      <c r="F371" s="399"/>
      <c r="G371" s="399"/>
      <c r="H371" s="402" t="s">
        <v>1007</v>
      </c>
      <c r="I371" s="423"/>
      <c r="Q371" s="383">
        <f t="shared" si="74"/>
        <v>0</v>
      </c>
      <c r="R371" s="418"/>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row>
    <row r="372" spans="1:41" ht="18">
      <c r="A372" s="344" t="s">
        <v>947</v>
      </c>
      <c r="B372" s="345"/>
      <c r="C372" s="345"/>
      <c r="D372" s="345"/>
      <c r="E372" s="345"/>
      <c r="F372" s="345"/>
      <c r="G372" s="345"/>
      <c r="H372" s="345"/>
      <c r="Q372" s="383">
        <f t="shared" si="74"/>
        <v>0</v>
      </c>
    </row>
    <row r="373" spans="1:41">
      <c r="A373" s="350"/>
      <c r="B373" s="346"/>
      <c r="C373" s="346"/>
      <c r="D373" s="346"/>
      <c r="E373" s="346"/>
      <c r="F373" s="346"/>
      <c r="G373" s="346"/>
      <c r="H373" s="346"/>
      <c r="Q373" s="383">
        <f t="shared" si="74"/>
        <v>0</v>
      </c>
    </row>
    <row r="374" spans="1:41" ht="15.75">
      <c r="A374" s="352" t="s">
        <v>906</v>
      </c>
      <c r="B374" s="346"/>
      <c r="C374" s="346"/>
      <c r="D374" s="346"/>
      <c r="E374" s="346"/>
      <c r="F374" s="346"/>
      <c r="G374" s="346"/>
      <c r="H374" s="346"/>
      <c r="Q374" s="383">
        <f t="shared" si="74"/>
        <v>0</v>
      </c>
    </row>
    <row r="375" spans="1:41" ht="15.75">
      <c r="A375" s="352" t="s">
        <v>962</v>
      </c>
      <c r="B375" s="346"/>
      <c r="C375" s="346"/>
      <c r="D375" s="346"/>
      <c r="E375" s="346"/>
      <c r="F375" s="346"/>
      <c r="G375" s="346"/>
      <c r="H375" s="346"/>
      <c r="Q375" s="383">
        <f t="shared" si="74"/>
        <v>0</v>
      </c>
    </row>
    <row r="376" spans="1:41">
      <c r="A376" s="355"/>
      <c r="B376" s="356"/>
      <c r="C376" s="356"/>
      <c r="D376" s="356"/>
      <c r="E376" s="356"/>
      <c r="F376" s="356"/>
      <c r="G376" s="356"/>
      <c r="H376" s="356"/>
      <c r="Q376" s="383">
        <f t="shared" si="74"/>
        <v>0</v>
      </c>
    </row>
    <row r="377" spans="1:41">
      <c r="A377" s="360"/>
      <c r="B377" s="361" t="s">
        <v>908</v>
      </c>
      <c r="C377" s="361"/>
      <c r="D377" s="361"/>
      <c r="E377" s="361"/>
      <c r="F377" s="361"/>
      <c r="G377" s="361"/>
      <c r="H377" s="362"/>
      <c r="Q377" s="383">
        <f t="shared" si="74"/>
        <v>0</v>
      </c>
    </row>
    <row r="378" spans="1:41">
      <c r="A378" s="360"/>
      <c r="B378" s="361" t="s">
        <v>909</v>
      </c>
      <c r="C378" s="361"/>
      <c r="D378" s="506" t="s">
        <v>910</v>
      </c>
      <c r="E378" s="504"/>
      <c r="F378" s="504"/>
      <c r="G378" s="504"/>
      <c r="H378" s="368" t="s">
        <v>800</v>
      </c>
      <c r="Q378" s="383">
        <f t="shared" si="74"/>
        <v>0</v>
      </c>
    </row>
    <row r="379" spans="1:41" ht="36">
      <c r="A379" s="360"/>
      <c r="B379" s="369" t="s">
        <v>911</v>
      </c>
      <c r="C379" s="370" t="s">
        <v>912</v>
      </c>
      <c r="D379" s="371" t="s">
        <v>913</v>
      </c>
      <c r="E379" s="372" t="s">
        <v>10</v>
      </c>
      <c r="F379" s="369" t="s">
        <v>914</v>
      </c>
      <c r="G379" s="373" t="s">
        <v>924</v>
      </c>
      <c r="H379" s="374" t="s">
        <v>916</v>
      </c>
      <c r="Q379" s="383">
        <f t="shared" si="74"/>
        <v>0</v>
      </c>
    </row>
    <row r="380" spans="1:41" ht="15.75" customHeight="1">
      <c r="A380" s="404" t="s">
        <v>885</v>
      </c>
      <c r="B380" s="378">
        <f>('Pivot Table for Data Exchange'!$R$6)*100</f>
        <v>81.847316398475186</v>
      </c>
      <c r="C380" s="378">
        <f>('Pivot Table for Data Exchange'!$R$9)*100</f>
        <v>7.1439013145318171</v>
      </c>
      <c r="D380" s="379">
        <f>SUM(E380:G380)</f>
        <v>11.008782286992995</v>
      </c>
      <c r="E380" s="378">
        <f>('Pivot Table for Data Exchange'!$R$12)*100</f>
        <v>11.008782286992995</v>
      </c>
      <c r="F380" s="378">
        <f>('Pivot Table for Data Exchange'!$R$15)*100</f>
        <v>0</v>
      </c>
      <c r="G380" s="382">
        <f>('Pivot Table for Data Exchange'!$R$18)*100</f>
        <v>0</v>
      </c>
      <c r="H380" s="378">
        <f>('Pivot Table for Data Exchange'!$R$21)*100</f>
        <v>0</v>
      </c>
      <c r="I380" s="349"/>
      <c r="J380" s="417"/>
      <c r="K380" s="417"/>
      <c r="L380" s="417"/>
      <c r="M380" s="417"/>
      <c r="N380" s="417"/>
      <c r="O380" s="417"/>
      <c r="P380" s="417"/>
      <c r="Q380" s="383">
        <f t="shared" si="74"/>
        <v>100</v>
      </c>
      <c r="R380" s="383"/>
      <c r="S380" s="384"/>
      <c r="T380" s="384"/>
      <c r="U380" s="384"/>
      <c r="V380" s="384"/>
      <c r="W380" s="384"/>
      <c r="X380" s="384"/>
      <c r="Y380" s="384"/>
      <c r="Z380" s="384"/>
      <c r="AA380" s="384"/>
      <c r="AB380" s="384"/>
      <c r="AC380" s="384"/>
      <c r="AD380" s="384"/>
      <c r="AE380" s="384"/>
      <c r="AF380" s="384"/>
      <c r="AG380" s="384"/>
      <c r="AH380" s="384"/>
      <c r="AI380" s="384"/>
      <c r="AJ380" s="384"/>
      <c r="AK380" s="384"/>
      <c r="AL380" s="384"/>
      <c r="AM380" s="384"/>
      <c r="AN380" s="384"/>
      <c r="AO380" s="384"/>
    </row>
    <row r="381" spans="1:41" ht="15.75" customHeight="1">
      <c r="A381" s="349" t="s">
        <v>886</v>
      </c>
      <c r="B381" s="378">
        <f>('Pivot Table for Data Exchange'!$R$42)*100</f>
        <v>0</v>
      </c>
      <c r="C381" s="378">
        <f>('Pivot Table for Data Exchange'!$R$45)*100</f>
        <v>0</v>
      </c>
      <c r="D381" s="379">
        <f t="shared" ref="D381:D383" si="80">SUM(E381:G381)</f>
        <v>0</v>
      </c>
      <c r="E381" s="378">
        <f>('Pivot Table for Data Exchange'!$R$48)*100</f>
        <v>0</v>
      </c>
      <c r="F381" s="378">
        <f>('Pivot Table for Data Exchange'!$R$51)*100</f>
        <v>0</v>
      </c>
      <c r="G381" s="386">
        <f>('Pivot Table for Data Exchange'!$R$54)*100</f>
        <v>0</v>
      </c>
      <c r="H381" s="378">
        <f>('Pivot Table for Data Exchange'!$R$57)*100</f>
        <v>0</v>
      </c>
      <c r="I381" s="349"/>
      <c r="J381" s="417"/>
      <c r="K381" s="417"/>
      <c r="L381" s="417"/>
      <c r="M381" s="417"/>
      <c r="N381" s="417"/>
      <c r="O381" s="417"/>
      <c r="P381" s="417"/>
      <c r="Q381" s="383">
        <f t="shared" si="74"/>
        <v>0</v>
      </c>
      <c r="R381" s="383"/>
      <c r="S381" s="384"/>
      <c r="T381" s="384"/>
      <c r="U381" s="384"/>
      <c r="V381" s="384"/>
      <c r="W381" s="384"/>
      <c r="X381" s="384"/>
      <c r="Y381" s="384"/>
      <c r="Z381" s="384"/>
      <c r="AA381" s="384"/>
      <c r="AB381" s="384"/>
      <c r="AC381" s="384"/>
      <c r="AD381" s="384"/>
      <c r="AE381" s="384"/>
      <c r="AF381" s="384"/>
      <c r="AG381" s="384"/>
      <c r="AH381" s="384"/>
      <c r="AI381" s="384"/>
      <c r="AJ381" s="384"/>
      <c r="AK381" s="384"/>
      <c r="AL381" s="384"/>
      <c r="AM381" s="384"/>
      <c r="AN381" s="384"/>
      <c r="AO381" s="384"/>
    </row>
    <row r="382" spans="1:41" ht="15.75" customHeight="1">
      <c r="A382" s="349" t="s">
        <v>887</v>
      </c>
      <c r="B382" s="378">
        <f>('Pivot Table for Data Exchange'!$R$78)*100</f>
        <v>0</v>
      </c>
      <c r="C382" s="378">
        <f>('Pivot Table for Data Exchange'!$R$81)*100</f>
        <v>0</v>
      </c>
      <c r="D382" s="379">
        <f t="shared" si="80"/>
        <v>0</v>
      </c>
      <c r="E382" s="378">
        <f>('Pivot Table for Data Exchange'!$R$84)*100</f>
        <v>0</v>
      </c>
      <c r="F382" s="378">
        <f>('Pivot Table for Data Exchange'!$R$87)*100</f>
        <v>0</v>
      </c>
      <c r="G382" s="386">
        <f>('Pivot Table for Data Exchange'!$R$90)*100</f>
        <v>0</v>
      </c>
      <c r="H382" s="378">
        <f>('Pivot Table for Data Exchange'!$R$93)*100</f>
        <v>0</v>
      </c>
      <c r="I382" s="349"/>
      <c r="J382" s="417"/>
      <c r="K382" s="417"/>
      <c r="L382" s="417"/>
      <c r="M382" s="417"/>
      <c r="N382" s="417"/>
      <c r="O382" s="417"/>
      <c r="P382" s="417"/>
      <c r="Q382" s="383">
        <f t="shared" si="74"/>
        <v>0</v>
      </c>
      <c r="R382" s="383"/>
      <c r="S382" s="384"/>
      <c r="T382" s="358"/>
      <c r="U382" s="384"/>
      <c r="V382" s="384"/>
      <c r="W382" s="384"/>
      <c r="X382" s="384"/>
      <c r="Y382" s="384"/>
      <c r="Z382" s="384"/>
      <c r="AA382" s="384"/>
      <c r="AB382" s="384"/>
      <c r="AC382" s="384"/>
      <c r="AD382" s="384"/>
      <c r="AE382" s="384"/>
      <c r="AF382" s="384"/>
      <c r="AG382" s="384"/>
      <c r="AH382" s="384"/>
      <c r="AI382" s="384"/>
      <c r="AJ382" s="384"/>
      <c r="AK382" s="384"/>
      <c r="AL382" s="384"/>
      <c r="AM382" s="384"/>
      <c r="AN382" s="384"/>
      <c r="AO382" s="384"/>
    </row>
    <row r="383" spans="1:41" ht="15.75" customHeight="1">
      <c r="A383" s="349" t="s">
        <v>888</v>
      </c>
      <c r="B383" s="378">
        <f>('Pivot Table for Data Exchange'!$R$114)*100</f>
        <v>0</v>
      </c>
      <c r="C383" s="378">
        <f>('Pivot Table for Data Exchange'!$R$117)*100</f>
        <v>0</v>
      </c>
      <c r="D383" s="379">
        <f t="shared" si="80"/>
        <v>0</v>
      </c>
      <c r="E383" s="378">
        <f>('Pivot Table for Data Exchange'!$R$120)*100</f>
        <v>0</v>
      </c>
      <c r="F383" s="378">
        <f>('Pivot Table for Data Exchange'!$R$123)*100</f>
        <v>0</v>
      </c>
      <c r="G383" s="386">
        <f>('Pivot Table for Data Exchange'!$R$126)*100</f>
        <v>0</v>
      </c>
      <c r="H383" s="378">
        <f>('Pivot Table for Data Exchange'!$R$129)*100</f>
        <v>0</v>
      </c>
      <c r="I383" s="349"/>
      <c r="J383" s="417"/>
      <c r="K383" s="417"/>
      <c r="L383" s="417"/>
      <c r="M383" s="417"/>
      <c r="N383" s="417"/>
      <c r="O383" s="417"/>
      <c r="P383" s="417"/>
      <c r="Q383" s="383">
        <f t="shared" si="74"/>
        <v>0</v>
      </c>
      <c r="R383" s="383"/>
      <c r="S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row>
    <row r="384" spans="1:41" ht="15.75" customHeight="1">
      <c r="B384" s="378"/>
      <c r="C384" s="378"/>
      <c r="D384" s="379"/>
      <c r="E384" s="378"/>
      <c r="F384" s="378"/>
      <c r="G384" s="386"/>
      <c r="H384" s="378"/>
      <c r="I384" s="349"/>
      <c r="J384" s="417"/>
      <c r="K384" s="417"/>
      <c r="L384" s="417"/>
      <c r="M384" s="417"/>
      <c r="N384" s="417"/>
      <c r="O384" s="417"/>
      <c r="P384" s="417"/>
      <c r="Q384" s="383">
        <f t="shared" si="74"/>
        <v>0</v>
      </c>
      <c r="R384" s="383"/>
      <c r="S384" s="384"/>
      <c r="U384" s="384"/>
      <c r="V384" s="384"/>
      <c r="W384" s="384"/>
      <c r="X384" s="384"/>
      <c r="Y384" s="384"/>
      <c r="Z384" s="384"/>
      <c r="AA384" s="384"/>
      <c r="AB384" s="384"/>
      <c r="AC384" s="384"/>
      <c r="AD384" s="384"/>
      <c r="AE384" s="384"/>
      <c r="AF384" s="384"/>
      <c r="AG384" s="384"/>
      <c r="AH384" s="384"/>
      <c r="AI384" s="384"/>
      <c r="AJ384" s="384"/>
      <c r="AK384" s="384"/>
      <c r="AL384" s="384"/>
      <c r="AM384" s="384"/>
      <c r="AN384" s="384"/>
      <c r="AO384" s="384"/>
    </row>
    <row r="385" spans="1:41" ht="15.75" customHeight="1">
      <c r="A385" s="349" t="s">
        <v>889</v>
      </c>
      <c r="B385" s="378">
        <f>('Pivot Table for Data Exchange'!$R$150)*100</f>
        <v>67.727248573176553</v>
      </c>
      <c r="C385" s="378">
        <f>('Pivot Table for Data Exchange'!$R$153)*100</f>
        <v>0</v>
      </c>
      <c r="D385" s="379">
        <f t="shared" ref="D385:D388" si="81">SUM(E385:G385)</f>
        <v>32.272751426823454</v>
      </c>
      <c r="E385" s="378">
        <f>('Pivot Table for Data Exchange'!$R$156)*100</f>
        <v>31.675257815162635</v>
      </c>
      <c r="F385" s="378">
        <f>('Pivot Table for Data Exchange'!$R$159)*100</f>
        <v>0.5974936116608206</v>
      </c>
      <c r="G385" s="386">
        <f>('Pivot Table for Data Exchange'!$R$162)*100</f>
        <v>0</v>
      </c>
      <c r="H385" s="378">
        <f>('Pivot Table for Data Exchange'!$R$165)*100</f>
        <v>0</v>
      </c>
      <c r="I385" s="349"/>
      <c r="J385" s="417"/>
      <c r="K385" s="417"/>
      <c r="L385" s="417"/>
      <c r="M385" s="417"/>
      <c r="N385" s="417"/>
      <c r="O385" s="417"/>
      <c r="P385" s="417"/>
      <c r="Q385" s="383">
        <f t="shared" si="74"/>
        <v>100</v>
      </c>
      <c r="R385" s="383"/>
      <c r="S385" s="384"/>
      <c r="T385" s="384"/>
      <c r="U385" s="384"/>
      <c r="V385" s="384"/>
      <c r="W385" s="384"/>
      <c r="X385" s="384"/>
      <c r="Y385" s="384"/>
      <c r="Z385" s="384"/>
      <c r="AA385" s="384"/>
      <c r="AB385" s="384"/>
      <c r="AC385" s="384"/>
      <c r="AD385" s="384"/>
      <c r="AE385" s="384"/>
      <c r="AF385" s="384"/>
      <c r="AG385" s="384"/>
      <c r="AH385" s="384"/>
      <c r="AI385" s="384"/>
      <c r="AJ385" s="384"/>
      <c r="AK385" s="384"/>
      <c r="AL385" s="384"/>
      <c r="AM385" s="384"/>
      <c r="AN385" s="384"/>
      <c r="AO385" s="384"/>
    </row>
    <row r="386" spans="1:41" ht="15.75" customHeight="1">
      <c r="A386" s="349" t="s">
        <v>890</v>
      </c>
      <c r="B386" s="378">
        <f>('Pivot Table for Data Exchange'!$R$186)*100</f>
        <v>53.582912578848706</v>
      </c>
      <c r="C386" s="378">
        <f>('Pivot Table for Data Exchange'!$R$189)*100</f>
        <v>14.296758480084288</v>
      </c>
      <c r="D386" s="379">
        <f t="shared" si="81"/>
        <v>32.120328941067008</v>
      </c>
      <c r="E386" s="378">
        <f>('Pivot Table for Data Exchange'!$R$192)*100</f>
        <v>32.120328941067008</v>
      </c>
      <c r="F386" s="378">
        <f>('Pivot Table for Data Exchange'!$R$195)*100</f>
        <v>0</v>
      </c>
      <c r="G386" s="386">
        <f>('Pivot Table for Data Exchange'!$R$198)*100</f>
        <v>0</v>
      </c>
      <c r="H386" s="378">
        <f>('Pivot Table for Data Exchange'!$R$201)*100</f>
        <v>0</v>
      </c>
      <c r="I386" s="349"/>
      <c r="J386" s="417"/>
      <c r="K386" s="417"/>
      <c r="L386" s="417"/>
      <c r="M386" s="417"/>
      <c r="N386" s="417"/>
      <c r="O386" s="417"/>
      <c r="P386" s="417"/>
      <c r="Q386" s="383">
        <f t="shared" si="74"/>
        <v>100</v>
      </c>
      <c r="R386" s="383"/>
      <c r="S386" s="384"/>
      <c r="T386" s="384"/>
      <c r="U386" s="384"/>
      <c r="V386" s="384"/>
      <c r="W386" s="384"/>
      <c r="X386" s="384"/>
      <c r="Y386" s="384"/>
      <c r="Z386" s="384"/>
      <c r="AA386" s="384"/>
      <c r="AB386" s="384"/>
      <c r="AC386" s="384"/>
      <c r="AD386" s="384"/>
      <c r="AE386" s="384"/>
      <c r="AF386" s="384"/>
      <c r="AG386" s="384"/>
      <c r="AH386" s="384"/>
      <c r="AI386" s="384"/>
      <c r="AJ386" s="384"/>
      <c r="AK386" s="384"/>
      <c r="AL386" s="384"/>
      <c r="AM386" s="384"/>
      <c r="AN386" s="384"/>
      <c r="AO386" s="384"/>
    </row>
    <row r="387" spans="1:41" ht="15.75" customHeight="1">
      <c r="A387" s="349" t="s">
        <v>891</v>
      </c>
      <c r="B387" s="378">
        <f>('Pivot Table for Data Exchange'!$R$222)*100</f>
        <v>89.965644174715678</v>
      </c>
      <c r="C387" s="378">
        <f>('Pivot Table for Data Exchange'!$R$225)*100</f>
        <v>0</v>
      </c>
      <c r="D387" s="379">
        <f t="shared" si="81"/>
        <v>10.034355825284333</v>
      </c>
      <c r="E387" s="378">
        <f>('Pivot Table for Data Exchange'!$R$228)*100</f>
        <v>10.034355825284333</v>
      </c>
      <c r="F387" s="378">
        <f>('Pivot Table for Data Exchange'!$R$231)*100</f>
        <v>0</v>
      </c>
      <c r="G387" s="386">
        <f>('Pivot Table for Data Exchange'!$R$234)*100</f>
        <v>0</v>
      </c>
      <c r="H387" s="378">
        <f>('Pivot Table for Data Exchange'!$R$237)*100</f>
        <v>0</v>
      </c>
      <c r="I387" s="424"/>
      <c r="J387" s="417"/>
      <c r="K387" s="417"/>
      <c r="L387" s="417"/>
      <c r="M387" s="417"/>
      <c r="N387" s="417"/>
      <c r="O387" s="417"/>
      <c r="P387" s="417"/>
      <c r="Q387" s="383">
        <f>SUM(I387,C387,D387,H387)</f>
        <v>10.034355825284333</v>
      </c>
      <c r="R387" s="383"/>
      <c r="S387" s="384"/>
      <c r="T387" s="358"/>
      <c r="U387" s="384"/>
      <c r="V387" s="384"/>
      <c r="W387" s="384"/>
      <c r="X387" s="384"/>
      <c r="Y387" s="384"/>
      <c r="Z387" s="384"/>
      <c r="AA387" s="384"/>
      <c r="AB387" s="384"/>
      <c r="AC387" s="384"/>
      <c r="AD387" s="384"/>
      <c r="AE387" s="384"/>
      <c r="AF387" s="384"/>
      <c r="AG387" s="384"/>
      <c r="AH387" s="384"/>
      <c r="AI387" s="384"/>
      <c r="AJ387" s="384"/>
      <c r="AK387" s="384"/>
      <c r="AL387" s="384"/>
      <c r="AM387" s="384"/>
      <c r="AN387" s="384"/>
      <c r="AO387" s="384"/>
    </row>
    <row r="388" spans="1:41" ht="15.75" customHeight="1">
      <c r="A388" s="349" t="s">
        <v>892</v>
      </c>
      <c r="B388" s="378">
        <f>('Pivot Table for Data Exchange'!$R$258)*100</f>
        <v>0</v>
      </c>
      <c r="C388" s="378">
        <f>('Pivot Table for Data Exchange'!$R$261)*100</f>
        <v>0</v>
      </c>
      <c r="D388" s="379">
        <f t="shared" si="81"/>
        <v>0</v>
      </c>
      <c r="E388" s="378">
        <f>('Pivot Table for Data Exchange'!$R$264)*100</f>
        <v>0</v>
      </c>
      <c r="F388" s="378">
        <f>('Pivot Table for Data Exchange'!$R$267)*100</f>
        <v>0</v>
      </c>
      <c r="G388" s="386">
        <f>('Pivot Table for Data Exchange'!$R$270)*100</f>
        <v>0</v>
      </c>
      <c r="H388" s="378">
        <f>('Pivot Table for Data Exchange'!$R$273)*100</f>
        <v>0</v>
      </c>
      <c r="I388" s="349"/>
      <c r="J388" s="417"/>
      <c r="K388" s="417"/>
      <c r="L388" s="417"/>
      <c r="M388" s="417"/>
      <c r="N388" s="417"/>
      <c r="O388" s="417"/>
      <c r="P388" s="417"/>
      <c r="Q388" s="383">
        <f t="shared" si="74"/>
        <v>0</v>
      </c>
      <c r="R388" s="383"/>
      <c r="S388" s="384"/>
      <c r="U388" s="384"/>
      <c r="V388" s="384"/>
      <c r="W388" s="384"/>
      <c r="X388" s="384"/>
      <c r="Y388" s="384"/>
      <c r="Z388" s="384"/>
      <c r="AA388" s="384"/>
      <c r="AB388" s="384"/>
      <c r="AC388" s="384"/>
      <c r="AD388" s="384"/>
      <c r="AE388" s="384"/>
      <c r="AF388" s="384"/>
      <c r="AG388" s="384"/>
      <c r="AH388" s="384"/>
      <c r="AI388" s="384"/>
      <c r="AJ388" s="384"/>
      <c r="AK388" s="384"/>
      <c r="AL388" s="384"/>
      <c r="AM388" s="384"/>
      <c r="AN388" s="384"/>
      <c r="AO388" s="384"/>
    </row>
    <row r="389" spans="1:41" ht="15.75" customHeight="1">
      <c r="B389" s="378"/>
      <c r="C389" s="378"/>
      <c r="D389" s="379"/>
      <c r="E389" s="378"/>
      <c r="F389" s="378"/>
      <c r="G389" s="386"/>
      <c r="H389" s="378"/>
      <c r="I389" s="349"/>
      <c r="J389" s="417"/>
      <c r="K389" s="417"/>
      <c r="L389" s="417"/>
      <c r="M389" s="417"/>
      <c r="N389" s="417"/>
      <c r="O389" s="417"/>
      <c r="P389" s="417"/>
      <c r="Q389" s="383">
        <f t="shared" si="74"/>
        <v>0</v>
      </c>
      <c r="R389" s="383"/>
      <c r="S389" s="384"/>
      <c r="U389" s="384"/>
      <c r="V389" s="384"/>
      <c r="W389" s="384"/>
      <c r="X389" s="384"/>
      <c r="Y389" s="384"/>
      <c r="Z389" s="384"/>
      <c r="AA389" s="384"/>
      <c r="AB389" s="384"/>
      <c r="AC389" s="384"/>
      <c r="AD389" s="384"/>
      <c r="AE389" s="384"/>
      <c r="AF389" s="384"/>
      <c r="AG389" s="384"/>
      <c r="AH389" s="384"/>
      <c r="AI389" s="384"/>
      <c r="AJ389" s="384"/>
      <c r="AK389" s="384"/>
      <c r="AL389" s="384"/>
      <c r="AM389" s="384"/>
      <c r="AN389" s="384"/>
      <c r="AO389" s="384"/>
    </row>
    <row r="390" spans="1:41" ht="15.75" customHeight="1">
      <c r="A390" s="349" t="s">
        <v>893</v>
      </c>
      <c r="B390" s="378">
        <f>('Pivot Table for Data Exchange'!$R$294)*100</f>
        <v>0</v>
      </c>
      <c r="C390" s="378">
        <f>('Pivot Table for Data Exchange'!$R$297)*100</f>
        <v>0</v>
      </c>
      <c r="D390" s="379">
        <f t="shared" ref="D390:D392" si="82">SUM(E390:G390)</f>
        <v>0</v>
      </c>
      <c r="E390" s="378">
        <f>('Pivot Table for Data Exchange'!$R$300)*100</f>
        <v>0</v>
      </c>
      <c r="F390" s="378">
        <f>('Pivot Table for Data Exchange'!$R$303)*100</f>
        <v>0</v>
      </c>
      <c r="G390" s="386">
        <f>('Pivot Table for Data Exchange'!$R$306)*100</f>
        <v>0</v>
      </c>
      <c r="H390" s="378">
        <f>('Pivot Table for Data Exchange'!$R$309)*100</f>
        <v>0</v>
      </c>
      <c r="I390" s="349"/>
      <c r="J390" s="417"/>
      <c r="K390" s="417"/>
      <c r="L390" s="417"/>
      <c r="M390" s="417"/>
      <c r="N390" s="417"/>
      <c r="O390" s="417"/>
      <c r="P390" s="417"/>
      <c r="Q390" s="383">
        <f t="shared" si="74"/>
        <v>0</v>
      </c>
      <c r="R390" s="383"/>
      <c r="S390" s="384"/>
      <c r="T390" s="384"/>
      <c r="U390" s="384"/>
      <c r="V390" s="384"/>
      <c r="W390" s="384"/>
      <c r="X390" s="384"/>
      <c r="Y390" s="384"/>
      <c r="Z390" s="384"/>
      <c r="AA390" s="384"/>
      <c r="AB390" s="384"/>
      <c r="AC390" s="384"/>
      <c r="AD390" s="384"/>
      <c r="AE390" s="384"/>
      <c r="AF390" s="384"/>
      <c r="AG390" s="384"/>
      <c r="AH390" s="384"/>
      <c r="AI390" s="384"/>
      <c r="AJ390" s="384"/>
      <c r="AK390" s="384"/>
      <c r="AL390" s="384"/>
      <c r="AM390" s="384"/>
      <c r="AN390" s="384"/>
      <c r="AO390" s="384"/>
    </row>
    <row r="391" spans="1:41" ht="15.75" customHeight="1">
      <c r="A391" s="349" t="s">
        <v>894</v>
      </c>
      <c r="B391" s="378">
        <f>('Pivot Table for Data Exchange'!$R$330)*100</f>
        <v>0</v>
      </c>
      <c r="C391" s="378">
        <f>('Pivot Table for Data Exchange'!$R$333)*100</f>
        <v>0</v>
      </c>
      <c r="D391" s="379">
        <f t="shared" si="82"/>
        <v>0</v>
      </c>
      <c r="E391" s="378">
        <f>('Pivot Table for Data Exchange'!$R$336)*100</f>
        <v>0</v>
      </c>
      <c r="F391" s="378">
        <f>('Pivot Table for Data Exchange'!$R$339)*100</f>
        <v>0</v>
      </c>
      <c r="G391" s="386">
        <f>('Pivot Table for Data Exchange'!$R$342)*100</f>
        <v>0</v>
      </c>
      <c r="H391" s="378">
        <f>('Pivot Table for Data Exchange'!$R$345)*100</f>
        <v>0</v>
      </c>
      <c r="I391" s="349"/>
      <c r="J391" s="417"/>
      <c r="K391" s="417"/>
      <c r="L391" s="417"/>
      <c r="M391" s="417"/>
      <c r="N391" s="417"/>
      <c r="O391" s="417"/>
      <c r="P391" s="417"/>
      <c r="Q391" s="383">
        <f t="shared" si="74"/>
        <v>0</v>
      </c>
      <c r="R391" s="383"/>
      <c r="S391" s="384"/>
      <c r="T391" s="384"/>
      <c r="U391" s="384"/>
      <c r="V391" s="384"/>
      <c r="W391" s="384"/>
      <c r="X391" s="384"/>
      <c r="Y391" s="384"/>
      <c r="Z391" s="384"/>
      <c r="AA391" s="384"/>
      <c r="AB391" s="384"/>
      <c r="AC391" s="384"/>
      <c r="AD391" s="384"/>
      <c r="AE391" s="384"/>
      <c r="AF391" s="384"/>
      <c r="AG391" s="384"/>
      <c r="AH391" s="384"/>
      <c r="AI391" s="384"/>
      <c r="AJ391" s="384"/>
      <c r="AK391" s="384"/>
      <c r="AL391" s="384"/>
      <c r="AM391" s="384"/>
      <c r="AN391" s="384"/>
      <c r="AO391" s="384"/>
    </row>
    <row r="392" spans="1:41" ht="15.75" customHeight="1">
      <c r="A392" s="349" t="s">
        <v>895</v>
      </c>
      <c r="B392" s="378">
        <f>('Pivot Table for Data Exchange'!$R$366)*100</f>
        <v>0</v>
      </c>
      <c r="C392" s="378">
        <f>('Pivot Table for Data Exchange'!$R$369)*100</f>
        <v>0</v>
      </c>
      <c r="D392" s="379">
        <f t="shared" si="82"/>
        <v>0</v>
      </c>
      <c r="E392" s="378">
        <f>('Pivot Table for Data Exchange'!$R$372)*100</f>
        <v>0</v>
      </c>
      <c r="F392" s="378">
        <f>('Pivot Table for Data Exchange'!$R$375)*100</f>
        <v>0</v>
      </c>
      <c r="G392" s="386">
        <f>('Pivot Table for Data Exchange'!$R$378)*100</f>
        <v>0</v>
      </c>
      <c r="H392" s="378">
        <f>('Pivot Table for Data Exchange'!$R$381)*100</f>
        <v>0</v>
      </c>
      <c r="I392" s="349"/>
      <c r="J392" s="417"/>
      <c r="K392" s="417"/>
      <c r="L392" s="417"/>
      <c r="M392" s="417"/>
      <c r="N392" s="417"/>
      <c r="O392" s="417"/>
      <c r="P392" s="417"/>
      <c r="Q392" s="383">
        <f t="shared" si="74"/>
        <v>0</v>
      </c>
      <c r="R392" s="383"/>
      <c r="S392" s="384"/>
      <c r="T392" s="358"/>
      <c r="U392" s="384"/>
      <c r="V392" s="384"/>
      <c r="W392" s="384"/>
      <c r="X392" s="384"/>
      <c r="Y392" s="384"/>
      <c r="Z392" s="384"/>
      <c r="AA392" s="384"/>
      <c r="AB392" s="384"/>
      <c r="AC392" s="384"/>
      <c r="AD392" s="384"/>
      <c r="AE392" s="384"/>
      <c r="AF392" s="384"/>
      <c r="AG392" s="384"/>
      <c r="AH392" s="384"/>
      <c r="AI392" s="384"/>
      <c r="AJ392" s="384"/>
      <c r="AK392" s="384"/>
      <c r="AL392" s="384"/>
      <c r="AM392" s="384"/>
      <c r="AN392" s="384"/>
      <c r="AO392" s="384"/>
    </row>
    <row r="393" spans="1:41" ht="15.75" customHeight="1">
      <c r="A393" s="349" t="s">
        <v>896</v>
      </c>
      <c r="B393" s="378">
        <f>('Pivot Table for Data Exchange'!$R$402)*100</f>
        <v>0</v>
      </c>
      <c r="C393" s="378">
        <f>('Pivot Table for Data Exchange'!$R$405)*100</f>
        <v>0</v>
      </c>
      <c r="D393" s="379">
        <f>SUM(E393:G393)</f>
        <v>0</v>
      </c>
      <c r="E393" s="378">
        <f>('Pivot Table for Data Exchange'!$R$408)*100</f>
        <v>0</v>
      </c>
      <c r="F393" s="378">
        <f>('Pivot Table for Data Exchange'!$R$411)*100</f>
        <v>0</v>
      </c>
      <c r="G393" s="386">
        <f>('Pivot Table for Data Exchange'!$R$414)*100</f>
        <v>0</v>
      </c>
      <c r="H393" s="378">
        <f>('Pivot Table for Data Exchange'!$R$417)*100</f>
        <v>0</v>
      </c>
      <c r="I393" s="349"/>
      <c r="J393" s="417"/>
      <c r="K393" s="417"/>
      <c r="L393" s="417"/>
      <c r="M393" s="417"/>
      <c r="N393" s="417"/>
      <c r="O393" s="417"/>
      <c r="P393" s="417"/>
      <c r="Q393" s="383">
        <f t="shared" si="74"/>
        <v>0</v>
      </c>
      <c r="R393" s="383"/>
      <c r="S393" s="384"/>
      <c r="T393" s="384"/>
      <c r="U393" s="384"/>
      <c r="V393" s="384"/>
      <c r="W393" s="384"/>
      <c r="X393" s="384"/>
      <c r="Y393" s="384"/>
      <c r="Z393" s="384"/>
      <c r="AA393" s="384"/>
      <c r="AB393" s="384"/>
      <c r="AC393" s="384"/>
      <c r="AD393" s="384"/>
      <c r="AE393" s="384"/>
      <c r="AF393" s="384"/>
      <c r="AG393" s="384"/>
      <c r="AH393" s="384"/>
      <c r="AI393" s="384"/>
      <c r="AJ393" s="384"/>
      <c r="AK393" s="384"/>
      <c r="AL393" s="384"/>
      <c r="AM393" s="384"/>
      <c r="AN393" s="384"/>
      <c r="AO393" s="384"/>
    </row>
    <row r="394" spans="1:41" ht="15.75" customHeight="1">
      <c r="B394" s="378"/>
      <c r="C394" s="378"/>
      <c r="D394" s="379"/>
      <c r="E394" s="378"/>
      <c r="F394" s="378"/>
      <c r="G394" s="386"/>
      <c r="H394" s="378"/>
      <c r="I394" s="349"/>
      <c r="J394" s="417"/>
      <c r="K394" s="417"/>
      <c r="L394" s="417"/>
      <c r="M394" s="417"/>
      <c r="N394" s="417"/>
      <c r="O394" s="417"/>
      <c r="P394" s="417"/>
      <c r="Q394" s="383">
        <f t="shared" si="74"/>
        <v>0</v>
      </c>
      <c r="R394" s="383"/>
      <c r="S394" s="384"/>
      <c r="T394" s="384"/>
      <c r="U394" s="384"/>
      <c r="V394" s="384"/>
      <c r="W394" s="384"/>
      <c r="X394" s="384"/>
      <c r="Y394" s="384"/>
      <c r="Z394" s="384"/>
      <c r="AA394" s="384"/>
      <c r="AB394" s="384"/>
      <c r="AC394" s="384"/>
      <c r="AD394" s="384"/>
      <c r="AE394" s="384"/>
      <c r="AF394" s="384"/>
      <c r="AG394" s="384"/>
      <c r="AH394" s="384"/>
      <c r="AI394" s="384"/>
      <c r="AJ394" s="384"/>
      <c r="AK394" s="384"/>
      <c r="AL394" s="384"/>
      <c r="AM394" s="384"/>
      <c r="AN394" s="384"/>
      <c r="AO394" s="384"/>
    </row>
    <row r="395" spans="1:41" ht="15.75" customHeight="1">
      <c r="A395" s="349" t="s">
        <v>897</v>
      </c>
      <c r="B395" s="378">
        <f>('Pivot Table for Data Exchange'!$R$438)*100</f>
        <v>0</v>
      </c>
      <c r="C395" s="378">
        <f>('Pivot Table for Data Exchange'!$R$441)*100</f>
        <v>0</v>
      </c>
      <c r="D395" s="379">
        <f>SUM(E395:G395)</f>
        <v>0</v>
      </c>
      <c r="E395" s="378">
        <f>('Pivot Table for Data Exchange'!$R$444)*100</f>
        <v>0</v>
      </c>
      <c r="F395" s="378">
        <f>('Pivot Table for Data Exchange'!$R$447)*100</f>
        <v>0</v>
      </c>
      <c r="G395" s="386">
        <f>('Pivot Table for Data Exchange'!$R$450)*100</f>
        <v>0</v>
      </c>
      <c r="H395" s="378">
        <f>('Pivot Table for Data Exchange'!$R$453)*100</f>
        <v>0</v>
      </c>
      <c r="I395" s="349"/>
      <c r="J395" s="417"/>
      <c r="K395" s="417"/>
      <c r="L395" s="417"/>
      <c r="M395" s="417"/>
      <c r="N395" s="417"/>
      <c r="O395" s="417"/>
      <c r="P395" s="417"/>
      <c r="Q395" s="383">
        <f t="shared" si="74"/>
        <v>0</v>
      </c>
      <c r="R395" s="383"/>
      <c r="S395" s="384"/>
      <c r="T395" s="384"/>
      <c r="U395" s="384"/>
      <c r="V395" s="384"/>
      <c r="W395" s="384"/>
      <c r="X395" s="384"/>
      <c r="Y395" s="384"/>
      <c r="Z395" s="384"/>
      <c r="AA395" s="384"/>
      <c r="AB395" s="384"/>
      <c r="AC395" s="384"/>
      <c r="AD395" s="384"/>
      <c r="AE395" s="384"/>
      <c r="AF395" s="384"/>
      <c r="AG395" s="384"/>
      <c r="AH395" s="384"/>
      <c r="AI395" s="384"/>
      <c r="AJ395" s="384"/>
      <c r="AK395" s="384"/>
      <c r="AL395" s="384"/>
      <c r="AM395" s="384"/>
      <c r="AN395" s="384"/>
      <c r="AO395" s="384"/>
    </row>
    <row r="396" spans="1:41" ht="15.75" customHeight="1">
      <c r="A396" s="349" t="s">
        <v>898</v>
      </c>
      <c r="B396" s="378">
        <f>('Pivot Table for Data Exchange'!$R$474)*100</f>
        <v>0</v>
      </c>
      <c r="C396" s="378">
        <f>('Pivot Table for Data Exchange'!$R$477)*100</f>
        <v>0</v>
      </c>
      <c r="D396" s="379">
        <f>SUM(E396:G396)</f>
        <v>0</v>
      </c>
      <c r="E396" s="378">
        <f>('Pivot Table for Data Exchange'!$R$480)*100</f>
        <v>0</v>
      </c>
      <c r="F396" s="378">
        <f>('Pivot Table for Data Exchange'!$R$483)*100</f>
        <v>0</v>
      </c>
      <c r="G396" s="386">
        <f>('Pivot Table for Data Exchange'!$R$486)*100</f>
        <v>0</v>
      </c>
      <c r="H396" s="378">
        <f>('Pivot Table for Data Exchange'!$R$489)*100</f>
        <v>0</v>
      </c>
      <c r="I396" s="349"/>
      <c r="J396" s="417"/>
      <c r="K396" s="417"/>
      <c r="L396" s="417"/>
      <c r="M396" s="417"/>
      <c r="N396" s="417"/>
      <c r="O396" s="417"/>
      <c r="P396" s="417"/>
      <c r="Q396" s="383">
        <f t="shared" ref="Q396:Q457" si="83">SUM(B396,C396,D396,H396)</f>
        <v>0</v>
      </c>
      <c r="R396" s="383"/>
      <c r="S396" s="384"/>
      <c r="T396" s="384"/>
      <c r="U396" s="384"/>
      <c r="V396" s="384"/>
      <c r="W396" s="384"/>
      <c r="X396" s="384"/>
      <c r="Y396" s="384"/>
      <c r="Z396" s="384"/>
      <c r="AA396" s="384"/>
      <c r="AB396" s="384"/>
      <c r="AC396" s="384"/>
      <c r="AD396" s="384"/>
      <c r="AE396" s="384"/>
      <c r="AF396" s="384"/>
      <c r="AG396" s="384"/>
      <c r="AH396" s="384"/>
      <c r="AI396" s="384"/>
      <c r="AJ396" s="384"/>
      <c r="AK396" s="384"/>
      <c r="AL396" s="384"/>
      <c r="AM396" s="384"/>
      <c r="AN396" s="384"/>
      <c r="AO396" s="384"/>
    </row>
    <row r="397" spans="1:41" ht="15.75" customHeight="1">
      <c r="A397" s="349" t="s">
        <v>899</v>
      </c>
      <c r="B397" s="378">
        <f>('Pivot Table for Data Exchange'!$R$510)*100</f>
        <v>0</v>
      </c>
      <c r="C397" s="378">
        <f>('Pivot Table for Data Exchange'!$R$513)*100</f>
        <v>0</v>
      </c>
      <c r="D397" s="379">
        <f t="shared" ref="D397" si="84">SUM(E397:G397)</f>
        <v>0</v>
      </c>
      <c r="E397" s="378">
        <f>('Pivot Table for Data Exchange'!$R$516)*100</f>
        <v>0</v>
      </c>
      <c r="F397" s="378">
        <f>('Pivot Table for Data Exchange'!$R$519)*100</f>
        <v>0</v>
      </c>
      <c r="G397" s="386">
        <f>('Pivot Table for Data Exchange'!$R$522)*100</f>
        <v>0</v>
      </c>
      <c r="H397" s="378">
        <f>('Pivot Table for Data Exchange'!$R$525)*100</f>
        <v>0</v>
      </c>
      <c r="I397" s="349"/>
      <c r="J397" s="417"/>
      <c r="K397" s="417"/>
      <c r="L397" s="417"/>
      <c r="M397" s="417"/>
      <c r="N397" s="417"/>
      <c r="O397" s="417"/>
      <c r="P397" s="417"/>
      <c r="Q397" s="383">
        <f t="shared" si="83"/>
        <v>0</v>
      </c>
      <c r="R397" s="383"/>
      <c r="S397" s="384"/>
      <c r="T397" s="384"/>
      <c r="U397" s="384"/>
      <c r="V397" s="384"/>
      <c r="W397" s="384"/>
      <c r="X397" s="384"/>
      <c r="Y397" s="384"/>
      <c r="Z397" s="384"/>
      <c r="AA397" s="384"/>
      <c r="AB397" s="384"/>
      <c r="AC397" s="384"/>
      <c r="AD397" s="384"/>
      <c r="AE397" s="384"/>
      <c r="AF397" s="384"/>
      <c r="AG397" s="384"/>
      <c r="AH397" s="384"/>
      <c r="AI397" s="384"/>
      <c r="AJ397" s="384"/>
      <c r="AK397" s="384"/>
      <c r="AL397" s="384"/>
      <c r="AM397" s="384"/>
      <c r="AN397" s="384"/>
      <c r="AO397" s="384"/>
    </row>
    <row r="398" spans="1:41" ht="15.75" customHeight="1">
      <c r="A398" s="355" t="s">
        <v>900</v>
      </c>
      <c r="B398" s="391">
        <f>('Pivot Table for Data Exchange'!$R$546)*100</f>
        <v>0</v>
      </c>
      <c r="C398" s="391">
        <f>('Pivot Table for Data Exchange'!$R$549)*100</f>
        <v>0</v>
      </c>
      <c r="D398" s="392">
        <f>SUM(E398:G398)</f>
        <v>0</v>
      </c>
      <c r="E398" s="391">
        <f>('Pivot Table for Data Exchange'!$R$552)*100</f>
        <v>0</v>
      </c>
      <c r="F398" s="391">
        <f>('Pivot Table for Data Exchange'!$R$555)*100</f>
        <v>0</v>
      </c>
      <c r="G398" s="393">
        <f>('Pivot Table for Data Exchange'!$R$558)*100</f>
        <v>0</v>
      </c>
      <c r="H398" s="391">
        <f>('Pivot Table for Data Exchange'!$R$561)*100</f>
        <v>0</v>
      </c>
      <c r="I398" s="349"/>
      <c r="J398" s="417"/>
      <c r="K398" s="417"/>
      <c r="L398" s="417"/>
      <c r="M398" s="417"/>
      <c r="N398" s="417"/>
      <c r="O398" s="417"/>
      <c r="P398" s="417"/>
      <c r="Q398" s="383">
        <f t="shared" si="83"/>
        <v>0</v>
      </c>
      <c r="R398" s="383"/>
      <c r="S398" s="384"/>
      <c r="T398" s="384"/>
      <c r="U398" s="384"/>
      <c r="V398" s="384"/>
      <c r="W398" s="384"/>
      <c r="X398" s="384"/>
      <c r="Y398" s="384"/>
      <c r="Z398" s="384"/>
      <c r="AA398" s="384"/>
      <c r="AB398" s="384"/>
      <c r="AC398" s="384"/>
      <c r="AD398" s="384"/>
      <c r="AE398" s="384"/>
      <c r="AF398" s="384"/>
      <c r="AG398" s="384"/>
      <c r="AH398" s="384"/>
      <c r="AI398" s="384"/>
      <c r="AJ398" s="384"/>
      <c r="AK398" s="384"/>
      <c r="AL398" s="384"/>
      <c r="AM398" s="384"/>
      <c r="AN398" s="384"/>
      <c r="AO398" s="384"/>
    </row>
    <row r="399" spans="1:41" s="396" customFormat="1" ht="12" customHeight="1">
      <c r="A399" s="397" t="s">
        <v>926</v>
      </c>
      <c r="B399" s="398"/>
      <c r="C399" s="398"/>
      <c r="D399" s="399"/>
      <c r="E399" s="398"/>
      <c r="F399" s="399"/>
      <c r="G399" s="399"/>
      <c r="H399" s="398"/>
      <c r="I399" s="407"/>
      <c r="J399" s="398"/>
      <c r="K399" s="398"/>
      <c r="L399" s="399"/>
      <c r="M399" s="398"/>
      <c r="N399" s="399"/>
      <c r="O399" s="399"/>
      <c r="P399" s="398"/>
      <c r="Q399" s="383">
        <f t="shared" si="83"/>
        <v>0</v>
      </c>
      <c r="R399" s="418"/>
      <c r="S399" s="400"/>
      <c r="T399" s="400"/>
      <c r="U399" s="400"/>
      <c r="V399" s="400"/>
      <c r="W399" s="400"/>
      <c r="X399" s="400"/>
      <c r="Y399" s="400"/>
      <c r="Z399" s="400"/>
      <c r="AA399" s="400"/>
      <c r="AB399" s="400"/>
      <c r="AC399" s="400"/>
      <c r="AD399" s="400"/>
      <c r="AE399" s="400"/>
      <c r="AF399" s="400"/>
      <c r="AG399" s="400"/>
      <c r="AH399" s="400"/>
      <c r="AI399" s="400"/>
      <c r="AJ399" s="400"/>
      <c r="AK399" s="400"/>
      <c r="AL399" s="400"/>
      <c r="AM399" s="400"/>
      <c r="AN399" s="400"/>
      <c r="AO399" s="400"/>
    </row>
    <row r="400" spans="1:41" s="396" customFormat="1" ht="13.5" customHeight="1">
      <c r="A400" s="407"/>
      <c r="B400" s="398"/>
      <c r="C400" s="398"/>
      <c r="D400" s="399"/>
      <c r="E400" s="398"/>
      <c r="F400" s="399"/>
      <c r="G400" s="399"/>
      <c r="H400" s="398"/>
      <c r="I400" s="407"/>
      <c r="J400" s="398"/>
      <c r="K400" s="398"/>
      <c r="L400" s="399"/>
      <c r="M400" s="398"/>
      <c r="N400" s="399"/>
      <c r="O400" s="399"/>
      <c r="P400" s="398"/>
      <c r="Q400" s="383">
        <f t="shared" si="83"/>
        <v>0</v>
      </c>
      <c r="R400" s="418"/>
      <c r="S400" s="400"/>
      <c r="T400" s="400"/>
      <c r="U400" s="400"/>
      <c r="V400" s="400"/>
      <c r="W400" s="400"/>
      <c r="X400" s="400"/>
      <c r="Y400" s="400"/>
      <c r="Z400" s="400"/>
      <c r="AA400" s="400"/>
      <c r="AB400" s="400"/>
      <c r="AC400" s="400"/>
      <c r="AD400" s="400"/>
      <c r="AE400" s="400"/>
      <c r="AF400" s="400"/>
      <c r="AG400" s="400"/>
      <c r="AH400" s="400"/>
      <c r="AI400" s="400"/>
      <c r="AJ400" s="400"/>
      <c r="AK400" s="400"/>
      <c r="AL400" s="400"/>
      <c r="AM400" s="400"/>
      <c r="AN400" s="400"/>
      <c r="AO400" s="400"/>
    </row>
    <row r="401" spans="1:41" ht="15.75" customHeight="1">
      <c r="B401" s="420"/>
      <c r="C401" s="420"/>
      <c r="D401" s="420"/>
      <c r="E401" s="420"/>
      <c r="F401" s="420"/>
      <c r="G401" s="420"/>
      <c r="H401" s="402" t="s">
        <v>1007</v>
      </c>
      <c r="I401" s="349"/>
      <c r="J401" s="417"/>
      <c r="K401" s="417"/>
      <c r="L401" s="417"/>
      <c r="M401" s="417"/>
      <c r="N401" s="417"/>
      <c r="O401" s="417"/>
      <c r="P401" s="417"/>
      <c r="Q401" s="383">
        <f t="shared" si="83"/>
        <v>0</v>
      </c>
      <c r="R401" s="383"/>
      <c r="S401" s="384"/>
      <c r="T401" s="384"/>
      <c r="U401" s="384"/>
      <c r="V401" s="384"/>
      <c r="W401" s="384"/>
      <c r="X401" s="384"/>
      <c r="Y401" s="384"/>
      <c r="Z401" s="384"/>
      <c r="AA401" s="384"/>
      <c r="AB401" s="384"/>
      <c r="AC401" s="384"/>
      <c r="AD401" s="384"/>
      <c r="AE401" s="384"/>
      <c r="AF401" s="384"/>
      <c r="AG401" s="384"/>
      <c r="AH401" s="384"/>
      <c r="AI401" s="384"/>
      <c r="AJ401" s="384"/>
      <c r="AK401" s="384"/>
      <c r="AL401" s="384"/>
      <c r="AM401" s="384"/>
      <c r="AN401" s="384"/>
      <c r="AO401" s="384"/>
    </row>
    <row r="402" spans="1:41" ht="18">
      <c r="A402" s="344" t="s">
        <v>948</v>
      </c>
      <c r="B402" s="345"/>
      <c r="C402" s="345"/>
      <c r="D402" s="345"/>
      <c r="E402" s="345"/>
      <c r="F402" s="345"/>
      <c r="G402" s="345"/>
      <c r="H402" s="345"/>
      <c r="Q402" s="383">
        <f t="shared" si="83"/>
        <v>0</v>
      </c>
    </row>
    <row r="403" spans="1:41">
      <c r="A403" s="350"/>
      <c r="B403" s="346"/>
      <c r="C403" s="346"/>
      <c r="D403" s="346"/>
      <c r="E403" s="346"/>
      <c r="F403" s="346"/>
      <c r="G403" s="346"/>
      <c r="H403" s="346"/>
      <c r="Q403" s="383">
        <f t="shared" si="83"/>
        <v>0</v>
      </c>
    </row>
    <row r="404" spans="1:41" ht="15.75">
      <c r="A404" s="352" t="s">
        <v>906</v>
      </c>
      <c r="B404" s="346"/>
      <c r="C404" s="346"/>
      <c r="D404" s="346"/>
      <c r="E404" s="346"/>
      <c r="F404" s="346"/>
      <c r="G404" s="346"/>
      <c r="H404" s="346"/>
      <c r="Q404" s="383">
        <f t="shared" si="83"/>
        <v>0</v>
      </c>
    </row>
    <row r="405" spans="1:41" ht="15.75">
      <c r="A405" s="352" t="s">
        <v>963</v>
      </c>
      <c r="B405" s="346"/>
      <c r="C405" s="346"/>
      <c r="D405" s="346"/>
      <c r="E405" s="346"/>
      <c r="F405" s="346"/>
      <c r="G405" s="346"/>
      <c r="H405" s="346"/>
      <c r="Q405" s="383">
        <f t="shared" si="83"/>
        <v>0</v>
      </c>
    </row>
    <row r="406" spans="1:41">
      <c r="A406" s="355"/>
      <c r="B406" s="356"/>
      <c r="C406" s="356"/>
      <c r="D406" s="356"/>
      <c r="E406" s="356"/>
      <c r="F406" s="356"/>
      <c r="G406" s="356"/>
      <c r="H406" s="356"/>
      <c r="Q406" s="383">
        <f t="shared" si="83"/>
        <v>0</v>
      </c>
    </row>
    <row r="407" spans="1:41">
      <c r="A407" s="360"/>
      <c r="B407" s="361" t="s">
        <v>908</v>
      </c>
      <c r="C407" s="361"/>
      <c r="D407" s="361"/>
      <c r="E407" s="361"/>
      <c r="F407" s="361"/>
      <c r="G407" s="361"/>
      <c r="H407" s="362"/>
      <c r="Q407" s="383">
        <f t="shared" si="83"/>
        <v>0</v>
      </c>
    </row>
    <row r="408" spans="1:41">
      <c r="A408" s="360"/>
      <c r="B408" s="361" t="s">
        <v>909</v>
      </c>
      <c r="C408" s="361"/>
      <c r="D408" s="506" t="s">
        <v>910</v>
      </c>
      <c r="E408" s="504"/>
      <c r="F408" s="504"/>
      <c r="G408" s="504"/>
      <c r="H408" s="368" t="s">
        <v>800</v>
      </c>
      <c r="Q408" s="383">
        <f t="shared" si="83"/>
        <v>0</v>
      </c>
    </row>
    <row r="409" spans="1:41" ht="36">
      <c r="A409" s="360"/>
      <c r="B409" s="369" t="s">
        <v>911</v>
      </c>
      <c r="C409" s="370" t="s">
        <v>912</v>
      </c>
      <c r="D409" s="371" t="s">
        <v>913</v>
      </c>
      <c r="E409" s="372" t="s">
        <v>10</v>
      </c>
      <c r="F409" s="369" t="s">
        <v>914</v>
      </c>
      <c r="G409" s="373" t="s">
        <v>924</v>
      </c>
      <c r="H409" s="374" t="s">
        <v>916</v>
      </c>
      <c r="Q409" s="383">
        <f t="shared" si="83"/>
        <v>0</v>
      </c>
    </row>
    <row r="410" spans="1:41" ht="15.75" customHeight="1">
      <c r="A410" s="404" t="s">
        <v>885</v>
      </c>
      <c r="B410" s="378">
        <f>('Pivot Table for Data Exchange'!$P$6)*100</f>
        <v>85.709098454196493</v>
      </c>
      <c r="C410" s="378">
        <f>('Pivot Table for Data Exchange'!$P$9)*100</f>
        <v>5.659300757339973</v>
      </c>
      <c r="D410" s="379">
        <f>SUM(E410:G410)</f>
        <v>8.6316007884635333</v>
      </c>
      <c r="E410" s="378">
        <f>('Pivot Table for Data Exchange'!$P$12)*100</f>
        <v>8.6316007884635333</v>
      </c>
      <c r="F410" s="378">
        <f>('Pivot Table for Data Exchange'!$P$15)*100</f>
        <v>0</v>
      </c>
      <c r="G410" s="382">
        <f>('Pivot Table for Data Exchange'!$P$18)*100</f>
        <v>0</v>
      </c>
      <c r="H410" s="378">
        <f>('Pivot Table for Data Exchange'!$P$21)*100</f>
        <v>0</v>
      </c>
      <c r="I410" s="349"/>
      <c r="J410" s="417"/>
      <c r="K410" s="417"/>
      <c r="L410" s="417"/>
      <c r="M410" s="417"/>
      <c r="N410" s="417"/>
      <c r="O410" s="417"/>
      <c r="P410" s="417"/>
      <c r="Q410" s="383">
        <f t="shared" si="83"/>
        <v>100</v>
      </c>
      <c r="R410" s="383"/>
      <c r="S410" s="384"/>
      <c r="T410" s="384"/>
      <c r="U410" s="384"/>
      <c r="V410" s="384"/>
      <c r="W410" s="384"/>
      <c r="X410" s="384"/>
      <c r="Y410" s="384"/>
      <c r="Z410" s="384"/>
      <c r="AA410" s="384"/>
      <c r="AB410" s="384"/>
      <c r="AC410" s="384"/>
      <c r="AD410" s="384"/>
      <c r="AE410" s="384"/>
      <c r="AF410" s="384"/>
      <c r="AG410" s="384"/>
      <c r="AH410" s="384"/>
      <c r="AI410" s="384"/>
      <c r="AJ410" s="384"/>
      <c r="AK410" s="384"/>
      <c r="AL410" s="384"/>
      <c r="AM410" s="384"/>
      <c r="AN410" s="384"/>
      <c r="AO410" s="384"/>
    </row>
    <row r="411" spans="1:41" ht="15.75" customHeight="1">
      <c r="A411" s="349" t="s">
        <v>886</v>
      </c>
      <c r="B411" s="378">
        <f>('Pivot Table for Data Exchange'!$P$42)*100</f>
        <v>0</v>
      </c>
      <c r="C411" s="378">
        <f>('Pivot Table for Data Exchange'!$P$45)*100</f>
        <v>0</v>
      </c>
      <c r="D411" s="379">
        <f t="shared" ref="D411:D413" si="85">SUM(E411:G411)</f>
        <v>0</v>
      </c>
      <c r="E411" s="378">
        <f>('Pivot Table for Data Exchange'!$P$48)*100</f>
        <v>0</v>
      </c>
      <c r="F411" s="378">
        <f>('Pivot Table for Data Exchange'!$P$51)*100</f>
        <v>0</v>
      </c>
      <c r="G411" s="386">
        <f>('Pivot Table for Data Exchange'!$P$54)*100</f>
        <v>0</v>
      </c>
      <c r="H411" s="378">
        <f>('Pivot Table for Data Exchange'!$P$57)*100</f>
        <v>0</v>
      </c>
      <c r="I411" s="349"/>
      <c r="J411" s="417"/>
      <c r="K411" s="417"/>
      <c r="L411" s="417"/>
      <c r="M411" s="417"/>
      <c r="N411" s="417"/>
      <c r="O411" s="417"/>
      <c r="P411" s="417"/>
      <c r="Q411" s="383">
        <f t="shared" si="83"/>
        <v>0</v>
      </c>
      <c r="R411" s="383"/>
      <c r="S411" s="384"/>
      <c r="T411" s="38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row>
    <row r="412" spans="1:41" ht="15.75" customHeight="1">
      <c r="A412" s="349" t="s">
        <v>887</v>
      </c>
      <c r="B412" s="378">
        <f>('Pivot Table for Data Exchange'!$P$78)*100</f>
        <v>0</v>
      </c>
      <c r="C412" s="378">
        <f>('Pivot Table for Data Exchange'!$P$81)*100</f>
        <v>0</v>
      </c>
      <c r="D412" s="379">
        <f t="shared" si="85"/>
        <v>0</v>
      </c>
      <c r="E412" s="378">
        <f>('Pivot Table for Data Exchange'!$P$84)*100</f>
        <v>0</v>
      </c>
      <c r="F412" s="378">
        <f>('Pivot Table for Data Exchange'!$P$87)*100</f>
        <v>0</v>
      </c>
      <c r="G412" s="386">
        <f>('Pivot Table for Data Exchange'!$P$90)*100</f>
        <v>0</v>
      </c>
      <c r="H412" s="378">
        <f>('Pivot Table for Data Exchange'!$P$93)*100</f>
        <v>0</v>
      </c>
      <c r="I412" s="349"/>
      <c r="J412" s="417"/>
      <c r="K412" s="417"/>
      <c r="L412" s="417"/>
      <c r="M412" s="417"/>
      <c r="N412" s="417"/>
      <c r="O412" s="417"/>
      <c r="P412" s="417"/>
      <c r="Q412" s="383">
        <f t="shared" si="83"/>
        <v>0</v>
      </c>
      <c r="R412" s="383"/>
      <c r="S412" s="384"/>
      <c r="T412" s="358"/>
      <c r="U412" s="384"/>
      <c r="V412" s="384"/>
      <c r="W412" s="384"/>
      <c r="X412" s="384"/>
      <c r="Y412" s="384"/>
      <c r="Z412" s="384"/>
      <c r="AA412" s="384"/>
      <c r="AB412" s="384"/>
      <c r="AC412" s="384"/>
      <c r="AD412" s="384"/>
      <c r="AE412" s="384"/>
      <c r="AF412" s="384"/>
      <c r="AG412" s="384"/>
      <c r="AH412" s="384"/>
      <c r="AI412" s="384"/>
      <c r="AJ412" s="384"/>
      <c r="AK412" s="384"/>
      <c r="AL412" s="384"/>
      <c r="AM412" s="384"/>
      <c r="AN412" s="384"/>
      <c r="AO412" s="384"/>
    </row>
    <row r="413" spans="1:41" ht="15.75" customHeight="1">
      <c r="A413" s="349" t="s">
        <v>888</v>
      </c>
      <c r="B413" s="378">
        <f>('Pivot Table for Data Exchange'!$P$114)*100</f>
        <v>0</v>
      </c>
      <c r="C413" s="378">
        <f>('Pivot Table for Data Exchange'!$P$117)*100</f>
        <v>0</v>
      </c>
      <c r="D413" s="379">
        <f t="shared" si="85"/>
        <v>0</v>
      </c>
      <c r="E413" s="378">
        <f>('Pivot Table for Data Exchange'!$P$120)*100</f>
        <v>0</v>
      </c>
      <c r="F413" s="378">
        <f>('Pivot Table for Data Exchange'!$P$123)*100</f>
        <v>0</v>
      </c>
      <c r="G413" s="386">
        <f>('Pivot Table for Data Exchange'!$P$126)*100</f>
        <v>0</v>
      </c>
      <c r="H413" s="378">
        <f>('Pivot Table for Data Exchange'!$P$129)*100</f>
        <v>0</v>
      </c>
      <c r="I413" s="349"/>
      <c r="J413" s="417"/>
      <c r="K413" s="417"/>
      <c r="L413" s="417"/>
      <c r="M413" s="417"/>
      <c r="N413" s="417"/>
      <c r="O413" s="417"/>
      <c r="P413" s="417"/>
      <c r="Q413" s="383">
        <f t="shared" si="83"/>
        <v>0</v>
      </c>
      <c r="R413" s="383"/>
      <c r="S413" s="384"/>
      <c r="U413" s="384"/>
      <c r="V413" s="384"/>
      <c r="W413" s="384"/>
      <c r="X413" s="384"/>
      <c r="Y413" s="384"/>
      <c r="Z413" s="384"/>
      <c r="AA413" s="384"/>
      <c r="AB413" s="384"/>
      <c r="AC413" s="384"/>
      <c r="AD413" s="384"/>
      <c r="AE413" s="384"/>
      <c r="AF413" s="384"/>
      <c r="AG413" s="384"/>
      <c r="AH413" s="384"/>
      <c r="AI413" s="384"/>
      <c r="AJ413" s="384"/>
      <c r="AK413" s="384"/>
      <c r="AL413" s="384"/>
      <c r="AM413" s="384"/>
      <c r="AN413" s="384"/>
      <c r="AO413" s="384"/>
    </row>
    <row r="414" spans="1:41" ht="15.75" customHeight="1">
      <c r="B414" s="378"/>
      <c r="C414" s="378"/>
      <c r="D414" s="379"/>
      <c r="E414" s="378"/>
      <c r="F414" s="378"/>
      <c r="G414" s="386"/>
      <c r="H414" s="378"/>
      <c r="I414" s="349"/>
      <c r="J414" s="417"/>
      <c r="K414" s="417"/>
      <c r="L414" s="417"/>
      <c r="M414" s="417"/>
      <c r="N414" s="417"/>
      <c r="O414" s="417"/>
      <c r="P414" s="417"/>
      <c r="Q414" s="383">
        <f t="shared" si="83"/>
        <v>0</v>
      </c>
      <c r="R414" s="383"/>
      <c r="S414" s="384"/>
      <c r="U414" s="384"/>
      <c r="V414" s="384"/>
      <c r="W414" s="384"/>
      <c r="X414" s="384"/>
      <c r="Y414" s="384"/>
      <c r="Z414" s="384"/>
      <c r="AA414" s="384"/>
      <c r="AB414" s="384"/>
      <c r="AC414" s="384"/>
      <c r="AD414" s="384"/>
      <c r="AE414" s="384"/>
      <c r="AF414" s="384"/>
      <c r="AG414" s="384"/>
      <c r="AH414" s="384"/>
      <c r="AI414" s="384"/>
      <c r="AJ414" s="384"/>
      <c r="AK414" s="384"/>
      <c r="AL414" s="384"/>
      <c r="AM414" s="384"/>
      <c r="AN414" s="384"/>
      <c r="AO414" s="384"/>
    </row>
    <row r="415" spans="1:41" ht="15.75" customHeight="1">
      <c r="A415" s="349" t="s">
        <v>889</v>
      </c>
      <c r="B415" s="378">
        <f>('Pivot Table for Data Exchange'!$P$150)*100</f>
        <v>67.727248573176553</v>
      </c>
      <c r="C415" s="378">
        <f>('Pivot Table for Data Exchange'!$P$153)*100</f>
        <v>0</v>
      </c>
      <c r="D415" s="379">
        <f t="shared" ref="D415:D418" si="86">SUM(E415:G415)</f>
        <v>32.272751426823454</v>
      </c>
      <c r="E415" s="378">
        <f>('Pivot Table for Data Exchange'!$P$156)*100</f>
        <v>31.675257815162635</v>
      </c>
      <c r="F415" s="378">
        <f>('Pivot Table for Data Exchange'!$P$159)*100</f>
        <v>0.5974936116608206</v>
      </c>
      <c r="G415" s="386">
        <f>('Pivot Table for Data Exchange'!$P$162)*100</f>
        <v>0</v>
      </c>
      <c r="H415" s="378">
        <f>('Pivot Table for Data Exchange'!$P$165)*100</f>
        <v>0</v>
      </c>
      <c r="I415" s="349"/>
      <c r="J415" s="417"/>
      <c r="K415" s="417"/>
      <c r="L415" s="417"/>
      <c r="M415" s="417"/>
      <c r="N415" s="417"/>
      <c r="O415" s="417"/>
      <c r="P415" s="417"/>
      <c r="Q415" s="383">
        <f t="shared" si="83"/>
        <v>100</v>
      </c>
      <c r="R415" s="383"/>
      <c r="S415" s="384"/>
      <c r="T415" s="384"/>
      <c r="U415" s="384"/>
      <c r="V415" s="384"/>
      <c r="W415" s="384"/>
      <c r="X415" s="384"/>
      <c r="Y415" s="384"/>
      <c r="Z415" s="384"/>
      <c r="AA415" s="384"/>
      <c r="AB415" s="384"/>
      <c r="AC415" s="384"/>
      <c r="AD415" s="384"/>
      <c r="AE415" s="384"/>
      <c r="AF415" s="384"/>
      <c r="AG415" s="384"/>
      <c r="AH415" s="384"/>
      <c r="AI415" s="384"/>
      <c r="AJ415" s="384"/>
      <c r="AK415" s="384"/>
      <c r="AL415" s="384"/>
      <c r="AM415" s="384"/>
      <c r="AN415" s="384"/>
      <c r="AO415" s="384"/>
    </row>
    <row r="416" spans="1:41" ht="15.75" customHeight="1">
      <c r="A416" s="349" t="s">
        <v>890</v>
      </c>
      <c r="B416" s="378">
        <f>('Pivot Table for Data Exchange'!$P$186)*100</f>
        <v>53.582912578848706</v>
      </c>
      <c r="C416" s="378">
        <f>('Pivot Table for Data Exchange'!$P$189)*100</f>
        <v>14.296758480084288</v>
      </c>
      <c r="D416" s="379">
        <f t="shared" si="86"/>
        <v>32.120328941067008</v>
      </c>
      <c r="E416" s="378">
        <f>('Pivot Table for Data Exchange'!$P$192)*100</f>
        <v>32.120328941067008</v>
      </c>
      <c r="F416" s="378">
        <f>('Pivot Table for Data Exchange'!$P$195)*100</f>
        <v>0</v>
      </c>
      <c r="G416" s="386">
        <f>('Pivot Table for Data Exchange'!$P$198)*100</f>
        <v>0</v>
      </c>
      <c r="H416" s="378">
        <f>('Pivot Table for Data Exchange'!$P$201)*100</f>
        <v>0</v>
      </c>
      <c r="I416" s="349"/>
      <c r="J416" s="417"/>
      <c r="K416" s="417"/>
      <c r="L416" s="417"/>
      <c r="M416" s="417"/>
      <c r="N416" s="417"/>
      <c r="O416" s="417"/>
      <c r="P416" s="417"/>
      <c r="Q416" s="383">
        <f t="shared" si="83"/>
        <v>100</v>
      </c>
      <c r="R416" s="383"/>
      <c r="S416" s="384"/>
      <c r="T416" s="384"/>
      <c r="U416" s="384"/>
      <c r="V416" s="384"/>
      <c r="W416" s="384"/>
      <c r="X416" s="384"/>
      <c r="Y416" s="384"/>
      <c r="Z416" s="384"/>
      <c r="AA416" s="384"/>
      <c r="AB416" s="384"/>
      <c r="AC416" s="384"/>
      <c r="AD416" s="384"/>
      <c r="AE416" s="384"/>
      <c r="AF416" s="384"/>
      <c r="AG416" s="384"/>
      <c r="AH416" s="384"/>
      <c r="AI416" s="384"/>
      <c r="AJ416" s="384"/>
      <c r="AK416" s="384"/>
      <c r="AL416" s="384"/>
      <c r="AM416" s="384"/>
      <c r="AN416" s="384"/>
      <c r="AO416" s="384"/>
    </row>
    <row r="417" spans="1:41" ht="15.75" customHeight="1">
      <c r="A417" s="349" t="s">
        <v>891</v>
      </c>
      <c r="B417" s="378">
        <f>('Pivot Table for Data Exchange'!$P$222)*100</f>
        <v>89.965644174715678</v>
      </c>
      <c r="C417" s="378">
        <f>('Pivot Table for Data Exchange'!$P$225)*100</f>
        <v>0</v>
      </c>
      <c r="D417" s="379">
        <f t="shared" si="86"/>
        <v>10.034355825284333</v>
      </c>
      <c r="E417" s="378">
        <f>('Pivot Table for Data Exchange'!$P$228)*100</f>
        <v>10.034355825284333</v>
      </c>
      <c r="F417" s="378">
        <f>('Pivot Table for Data Exchange'!$P$231)*100</f>
        <v>0</v>
      </c>
      <c r="G417" s="386">
        <f>('Pivot Table for Data Exchange'!$P$234)*100</f>
        <v>0</v>
      </c>
      <c r="H417" s="378">
        <f>('Pivot Table for Data Exchange'!$P$237)*100</f>
        <v>0</v>
      </c>
      <c r="I417" s="424"/>
      <c r="J417" s="417"/>
      <c r="K417" s="417"/>
      <c r="L417" s="417"/>
      <c r="M417" s="417"/>
      <c r="N417" s="417"/>
      <c r="O417" s="417"/>
      <c r="P417" s="417"/>
      <c r="Q417" s="383">
        <f>SUM(I417,C417,D417,H417)</f>
        <v>10.034355825284333</v>
      </c>
      <c r="R417" s="383"/>
      <c r="S417" s="384"/>
      <c r="T417" s="358"/>
      <c r="U417" s="384"/>
      <c r="V417" s="384"/>
      <c r="W417" s="384"/>
      <c r="X417" s="384"/>
      <c r="Y417" s="384"/>
      <c r="Z417" s="384"/>
      <c r="AA417" s="384"/>
      <c r="AB417" s="384"/>
      <c r="AC417" s="384"/>
      <c r="AD417" s="384"/>
      <c r="AE417" s="384"/>
      <c r="AF417" s="384"/>
      <c r="AG417" s="384"/>
      <c r="AH417" s="384"/>
      <c r="AI417" s="384"/>
      <c r="AJ417" s="384"/>
      <c r="AK417" s="384"/>
      <c r="AL417" s="384"/>
      <c r="AM417" s="384"/>
      <c r="AN417" s="384"/>
      <c r="AO417" s="384"/>
    </row>
    <row r="418" spans="1:41" ht="15.75" customHeight="1">
      <c r="A418" s="349" t="s">
        <v>892</v>
      </c>
      <c r="B418" s="378">
        <f>('Pivot Table for Data Exchange'!$P$258)*100</f>
        <v>0</v>
      </c>
      <c r="C418" s="378">
        <f>('Pivot Table for Data Exchange'!$P$261)*100</f>
        <v>0</v>
      </c>
      <c r="D418" s="379">
        <f t="shared" si="86"/>
        <v>0</v>
      </c>
      <c r="E418" s="378">
        <f>('Pivot Table for Data Exchange'!$P$264)*100</f>
        <v>0</v>
      </c>
      <c r="F418" s="378">
        <f>('Pivot Table for Data Exchange'!$P$267)*100</f>
        <v>0</v>
      </c>
      <c r="G418" s="386">
        <f>('Pivot Table for Data Exchange'!$P$270)*100</f>
        <v>0</v>
      </c>
      <c r="H418" s="378">
        <f>('Pivot Table for Data Exchange'!$P$273)*100</f>
        <v>0</v>
      </c>
      <c r="I418" s="349"/>
      <c r="J418" s="417"/>
      <c r="K418" s="417"/>
      <c r="L418" s="417"/>
      <c r="M418" s="417"/>
      <c r="N418" s="417"/>
      <c r="O418" s="417"/>
      <c r="P418" s="417"/>
      <c r="Q418" s="383">
        <f t="shared" si="83"/>
        <v>0</v>
      </c>
      <c r="R418" s="383"/>
      <c r="S418" s="384"/>
      <c r="U418" s="384"/>
      <c r="V418" s="384"/>
      <c r="W418" s="384"/>
      <c r="X418" s="384"/>
      <c r="Y418" s="384"/>
      <c r="Z418" s="384"/>
      <c r="AA418" s="384"/>
      <c r="AB418" s="384"/>
      <c r="AC418" s="384"/>
      <c r="AD418" s="384"/>
      <c r="AE418" s="384"/>
      <c r="AF418" s="384"/>
      <c r="AG418" s="384"/>
      <c r="AH418" s="384"/>
      <c r="AI418" s="384"/>
      <c r="AJ418" s="384"/>
      <c r="AK418" s="384"/>
      <c r="AL418" s="384"/>
      <c r="AM418" s="384"/>
      <c r="AN418" s="384"/>
      <c r="AO418" s="384"/>
    </row>
    <row r="419" spans="1:41" ht="15.75" customHeight="1">
      <c r="B419" s="378"/>
      <c r="C419" s="378"/>
      <c r="D419" s="379"/>
      <c r="E419" s="378"/>
      <c r="F419" s="378"/>
      <c r="G419" s="386"/>
      <c r="H419" s="378"/>
      <c r="I419" s="349"/>
      <c r="J419" s="417"/>
      <c r="K419" s="417"/>
      <c r="L419" s="417"/>
      <c r="M419" s="417"/>
      <c r="N419" s="417"/>
      <c r="O419" s="417"/>
      <c r="P419" s="417"/>
      <c r="Q419" s="383">
        <f t="shared" si="83"/>
        <v>0</v>
      </c>
      <c r="R419" s="383"/>
      <c r="S419" s="384"/>
      <c r="U419" s="384"/>
      <c r="V419" s="384"/>
      <c r="W419" s="384"/>
      <c r="X419" s="384"/>
      <c r="Y419" s="384"/>
      <c r="Z419" s="384"/>
      <c r="AA419" s="384"/>
      <c r="AB419" s="384"/>
      <c r="AC419" s="384"/>
      <c r="AD419" s="384"/>
      <c r="AE419" s="384"/>
      <c r="AF419" s="384"/>
      <c r="AG419" s="384"/>
      <c r="AH419" s="384"/>
      <c r="AI419" s="384"/>
      <c r="AJ419" s="384"/>
      <c r="AK419" s="384"/>
      <c r="AL419" s="384"/>
      <c r="AM419" s="384"/>
      <c r="AN419" s="384"/>
      <c r="AO419" s="384"/>
    </row>
    <row r="420" spans="1:41" ht="15.75" customHeight="1">
      <c r="A420" s="349" t="s">
        <v>893</v>
      </c>
      <c r="B420" s="378">
        <f>('Pivot Table for Data Exchange'!$P$294)*100</f>
        <v>0</v>
      </c>
      <c r="C420" s="378">
        <f>('Pivot Table for Data Exchange'!$P$297)*100</f>
        <v>0</v>
      </c>
      <c r="D420" s="379">
        <f t="shared" ref="D420:D422" si="87">SUM(E420:G420)</f>
        <v>0</v>
      </c>
      <c r="E420" s="378">
        <f>('Pivot Table for Data Exchange'!$P$300)*100</f>
        <v>0</v>
      </c>
      <c r="F420" s="378">
        <f>('Pivot Table for Data Exchange'!$P$303)*100</f>
        <v>0</v>
      </c>
      <c r="G420" s="386">
        <f>('Pivot Table for Data Exchange'!$P$306)*100</f>
        <v>0</v>
      </c>
      <c r="H420" s="378">
        <f>('Pivot Table for Data Exchange'!$P$309)*100</f>
        <v>0</v>
      </c>
      <c r="I420" s="349"/>
      <c r="J420" s="417"/>
      <c r="K420" s="417"/>
      <c r="L420" s="417"/>
      <c r="M420" s="417"/>
      <c r="N420" s="417"/>
      <c r="O420" s="417"/>
      <c r="P420" s="417"/>
      <c r="Q420" s="383">
        <f t="shared" si="83"/>
        <v>0</v>
      </c>
      <c r="R420" s="383"/>
      <c r="S420" s="384"/>
      <c r="T420" s="384"/>
      <c r="U420" s="384"/>
      <c r="V420" s="384"/>
      <c r="W420" s="384"/>
      <c r="X420" s="384"/>
      <c r="Y420" s="384"/>
      <c r="Z420" s="384"/>
      <c r="AA420" s="384"/>
      <c r="AB420" s="384"/>
      <c r="AC420" s="384"/>
      <c r="AD420" s="384"/>
      <c r="AE420" s="384"/>
      <c r="AF420" s="384"/>
      <c r="AG420" s="384"/>
      <c r="AH420" s="384"/>
      <c r="AI420" s="384"/>
      <c r="AJ420" s="384"/>
      <c r="AK420" s="384"/>
      <c r="AL420" s="384"/>
      <c r="AM420" s="384"/>
      <c r="AN420" s="384"/>
      <c r="AO420" s="384"/>
    </row>
    <row r="421" spans="1:41" ht="15.75" customHeight="1">
      <c r="A421" s="349" t="s">
        <v>894</v>
      </c>
      <c r="B421" s="378">
        <f>('Pivot Table for Data Exchange'!$P$330)*100</f>
        <v>0</v>
      </c>
      <c r="C421" s="378">
        <f>('Pivot Table for Data Exchange'!$P$333)*100</f>
        <v>0</v>
      </c>
      <c r="D421" s="379">
        <f t="shared" si="87"/>
        <v>0</v>
      </c>
      <c r="E421" s="378">
        <f>('Pivot Table for Data Exchange'!$P$336)*100</f>
        <v>0</v>
      </c>
      <c r="F421" s="378">
        <f>('Pivot Table for Data Exchange'!$P$339)*100</f>
        <v>0</v>
      </c>
      <c r="G421" s="386">
        <f>('Pivot Table for Data Exchange'!$P$342)*100</f>
        <v>0</v>
      </c>
      <c r="H421" s="378">
        <f>('Pivot Table for Data Exchange'!$P$345)*100</f>
        <v>0</v>
      </c>
      <c r="I421" s="349"/>
      <c r="J421" s="417"/>
      <c r="K421" s="417"/>
      <c r="L421" s="417"/>
      <c r="M421" s="417"/>
      <c r="N421" s="417"/>
      <c r="O421" s="417"/>
      <c r="P421" s="417"/>
      <c r="Q421" s="383">
        <f t="shared" si="83"/>
        <v>0</v>
      </c>
      <c r="R421" s="383"/>
      <c r="S421" s="384"/>
      <c r="T421" s="384"/>
      <c r="U421" s="384"/>
      <c r="V421" s="384"/>
      <c r="W421" s="384"/>
      <c r="X421" s="384"/>
      <c r="Y421" s="384"/>
      <c r="Z421" s="384"/>
      <c r="AA421" s="384"/>
      <c r="AB421" s="384"/>
      <c r="AC421" s="384"/>
      <c r="AD421" s="384"/>
      <c r="AE421" s="384"/>
      <c r="AF421" s="384"/>
      <c r="AG421" s="384"/>
      <c r="AH421" s="384"/>
      <c r="AI421" s="384"/>
      <c r="AJ421" s="384"/>
      <c r="AK421" s="384"/>
      <c r="AL421" s="384"/>
      <c r="AM421" s="384"/>
      <c r="AN421" s="384"/>
      <c r="AO421" s="384"/>
    </row>
    <row r="422" spans="1:41" ht="15.75" customHeight="1">
      <c r="A422" s="349" t="s">
        <v>895</v>
      </c>
      <c r="B422" s="378">
        <f>('Pivot Table for Data Exchange'!$P$366)*100</f>
        <v>0</v>
      </c>
      <c r="C422" s="378">
        <f>('Pivot Table for Data Exchange'!$P$369)*100</f>
        <v>0</v>
      </c>
      <c r="D422" s="379">
        <f t="shared" si="87"/>
        <v>0</v>
      </c>
      <c r="E422" s="378">
        <f>('Pivot Table for Data Exchange'!$P$372)*100</f>
        <v>0</v>
      </c>
      <c r="F422" s="378">
        <f>('Pivot Table for Data Exchange'!$P$375)*100</f>
        <v>0</v>
      </c>
      <c r="G422" s="386">
        <f>('Pivot Table for Data Exchange'!$P$378)*100</f>
        <v>0</v>
      </c>
      <c r="H422" s="378">
        <f>('Pivot Table for Data Exchange'!$P$381)*100</f>
        <v>0</v>
      </c>
      <c r="I422" s="349"/>
      <c r="J422" s="417"/>
      <c r="K422" s="417"/>
      <c r="L422" s="417"/>
      <c r="M422" s="417"/>
      <c r="N422" s="417"/>
      <c r="O422" s="417"/>
      <c r="P422" s="417"/>
      <c r="Q422" s="383">
        <f t="shared" si="83"/>
        <v>0</v>
      </c>
      <c r="R422" s="383"/>
      <c r="S422" s="384"/>
      <c r="T422" s="358"/>
      <c r="U422" s="384"/>
      <c r="V422" s="384"/>
      <c r="W422" s="384"/>
      <c r="X422" s="384"/>
      <c r="Y422" s="384"/>
      <c r="Z422" s="384"/>
      <c r="AA422" s="384"/>
      <c r="AB422" s="384"/>
      <c r="AC422" s="384"/>
      <c r="AD422" s="384"/>
      <c r="AE422" s="384"/>
      <c r="AF422" s="384"/>
      <c r="AG422" s="384"/>
      <c r="AH422" s="384"/>
      <c r="AI422" s="384"/>
      <c r="AJ422" s="384"/>
      <c r="AK422" s="384"/>
      <c r="AL422" s="384"/>
      <c r="AM422" s="384"/>
      <c r="AN422" s="384"/>
      <c r="AO422" s="384"/>
    </row>
    <row r="423" spans="1:41" ht="15.75" customHeight="1">
      <c r="A423" s="349" t="s">
        <v>896</v>
      </c>
      <c r="B423" s="378">
        <f>('Pivot Table for Data Exchange'!$P$402)*100</f>
        <v>0</v>
      </c>
      <c r="C423" s="378">
        <f>('Pivot Table for Data Exchange'!$P$405)*100</f>
        <v>0</v>
      </c>
      <c r="D423" s="379">
        <f>SUM(E423:G423)</f>
        <v>0</v>
      </c>
      <c r="E423" s="378">
        <f>('Pivot Table for Data Exchange'!$P$408)*100</f>
        <v>0</v>
      </c>
      <c r="F423" s="378">
        <f>('Pivot Table for Data Exchange'!$P$411)*100</f>
        <v>0</v>
      </c>
      <c r="G423" s="386">
        <f>('Pivot Table for Data Exchange'!$P$414)*100</f>
        <v>0</v>
      </c>
      <c r="H423" s="378">
        <f>('Pivot Table for Data Exchange'!$P$417)*100</f>
        <v>0</v>
      </c>
      <c r="I423" s="349"/>
      <c r="J423" s="417"/>
      <c r="K423" s="417"/>
      <c r="L423" s="417"/>
      <c r="M423" s="417"/>
      <c r="N423" s="417"/>
      <c r="O423" s="417"/>
      <c r="P423" s="417"/>
      <c r="Q423" s="383">
        <f t="shared" si="83"/>
        <v>0</v>
      </c>
      <c r="R423" s="383"/>
      <c r="S423" s="384"/>
      <c r="T423" s="384"/>
      <c r="U423" s="384"/>
      <c r="V423" s="384"/>
      <c r="W423" s="384"/>
      <c r="X423" s="384"/>
      <c r="Y423" s="384"/>
      <c r="Z423" s="384"/>
      <c r="AA423" s="384"/>
      <c r="AB423" s="384"/>
      <c r="AC423" s="384"/>
      <c r="AD423" s="384"/>
      <c r="AE423" s="384"/>
      <c r="AF423" s="384"/>
      <c r="AG423" s="384"/>
      <c r="AH423" s="384"/>
      <c r="AI423" s="384"/>
      <c r="AJ423" s="384"/>
      <c r="AK423" s="384"/>
      <c r="AL423" s="384"/>
      <c r="AM423" s="384"/>
      <c r="AN423" s="384"/>
      <c r="AO423" s="384"/>
    </row>
    <row r="424" spans="1:41" ht="15.75" customHeight="1">
      <c r="B424" s="378"/>
      <c r="C424" s="378"/>
      <c r="D424" s="379"/>
      <c r="E424" s="378"/>
      <c r="F424" s="378"/>
      <c r="G424" s="386"/>
      <c r="H424" s="378"/>
      <c r="I424" s="349"/>
      <c r="J424" s="417"/>
      <c r="K424" s="417"/>
      <c r="L424" s="417"/>
      <c r="M424" s="417"/>
      <c r="N424" s="417"/>
      <c r="O424" s="417"/>
      <c r="P424" s="417"/>
      <c r="Q424" s="383">
        <f t="shared" si="83"/>
        <v>0</v>
      </c>
      <c r="R424" s="383"/>
      <c r="S424" s="384"/>
      <c r="T424" s="384"/>
      <c r="U424" s="384"/>
      <c r="V424" s="384"/>
      <c r="W424" s="384"/>
      <c r="X424" s="384"/>
      <c r="Y424" s="384"/>
      <c r="Z424" s="384"/>
      <c r="AA424" s="384"/>
      <c r="AB424" s="384"/>
      <c r="AC424" s="384"/>
      <c r="AD424" s="384"/>
      <c r="AE424" s="384"/>
      <c r="AF424" s="384"/>
      <c r="AG424" s="384"/>
      <c r="AH424" s="384"/>
      <c r="AI424" s="384"/>
      <c r="AJ424" s="384"/>
      <c r="AK424" s="384"/>
      <c r="AL424" s="384"/>
      <c r="AM424" s="384"/>
      <c r="AN424" s="384"/>
      <c r="AO424" s="384"/>
    </row>
    <row r="425" spans="1:41" ht="15.75" customHeight="1">
      <c r="A425" s="349" t="s">
        <v>897</v>
      </c>
      <c r="B425" s="378">
        <f>('Pivot Table for Data Exchange'!$P$438)*100</f>
        <v>0</v>
      </c>
      <c r="C425" s="378">
        <f>('Pivot Table for Data Exchange'!$P$441)*100</f>
        <v>0</v>
      </c>
      <c r="D425" s="379">
        <f>SUM(E425:G425)</f>
        <v>0</v>
      </c>
      <c r="E425" s="378">
        <f>('Pivot Table for Data Exchange'!$P$444)*100</f>
        <v>0</v>
      </c>
      <c r="F425" s="378">
        <f>('Pivot Table for Data Exchange'!$P$447)*100</f>
        <v>0</v>
      </c>
      <c r="G425" s="386">
        <f>('Pivot Table for Data Exchange'!$P$450)*100</f>
        <v>0</v>
      </c>
      <c r="H425" s="378">
        <f>('Pivot Table for Data Exchange'!$P$453)*100</f>
        <v>0</v>
      </c>
      <c r="I425" s="349"/>
      <c r="J425" s="417"/>
      <c r="K425" s="417"/>
      <c r="L425" s="417"/>
      <c r="M425" s="417"/>
      <c r="N425" s="417"/>
      <c r="O425" s="417"/>
      <c r="P425" s="417"/>
      <c r="Q425" s="383">
        <f t="shared" si="83"/>
        <v>0</v>
      </c>
      <c r="R425" s="383"/>
      <c r="S425" s="384"/>
      <c r="T425" s="384"/>
      <c r="U425" s="384"/>
      <c r="V425" s="384"/>
      <c r="W425" s="384"/>
      <c r="X425" s="384"/>
      <c r="Y425" s="384"/>
      <c r="Z425" s="384"/>
      <c r="AA425" s="384"/>
      <c r="AB425" s="384"/>
      <c r="AC425" s="384"/>
      <c r="AD425" s="384"/>
      <c r="AE425" s="384"/>
      <c r="AF425" s="384"/>
      <c r="AG425" s="384"/>
      <c r="AH425" s="384"/>
      <c r="AI425" s="384"/>
      <c r="AJ425" s="384"/>
      <c r="AK425" s="384"/>
      <c r="AL425" s="384"/>
      <c r="AM425" s="384"/>
      <c r="AN425" s="384"/>
      <c r="AO425" s="384"/>
    </row>
    <row r="426" spans="1:41" ht="15.75" customHeight="1">
      <c r="A426" s="349" t="s">
        <v>898</v>
      </c>
      <c r="B426" s="378">
        <f>('Pivot Table for Data Exchange'!$P$474)*100</f>
        <v>0</v>
      </c>
      <c r="C426" s="378">
        <f>('Pivot Table for Data Exchange'!$P$477)*100</f>
        <v>0</v>
      </c>
      <c r="D426" s="379">
        <f>SUM(E426:G426)</f>
        <v>0</v>
      </c>
      <c r="E426" s="378">
        <f>('Pivot Table for Data Exchange'!$P$480)*100</f>
        <v>0</v>
      </c>
      <c r="F426" s="378">
        <f>('Pivot Table for Data Exchange'!$P$483)*100</f>
        <v>0</v>
      </c>
      <c r="G426" s="386">
        <f>('Pivot Table for Data Exchange'!$P$486)*100</f>
        <v>0</v>
      </c>
      <c r="H426" s="378">
        <f>('Pivot Table for Data Exchange'!$P$489)*100</f>
        <v>0</v>
      </c>
      <c r="I426" s="349"/>
      <c r="J426" s="417"/>
      <c r="K426" s="417"/>
      <c r="L426" s="417"/>
      <c r="M426" s="417"/>
      <c r="N426" s="417"/>
      <c r="O426" s="417"/>
      <c r="P426" s="417"/>
      <c r="Q426" s="383">
        <f t="shared" si="83"/>
        <v>0</v>
      </c>
      <c r="R426" s="383"/>
      <c r="S426" s="384"/>
      <c r="T426" s="384"/>
      <c r="U426" s="384"/>
      <c r="V426" s="384"/>
      <c r="W426" s="384"/>
      <c r="X426" s="384"/>
      <c r="Y426" s="384"/>
      <c r="Z426" s="384"/>
      <c r="AA426" s="384"/>
      <c r="AB426" s="384"/>
      <c r="AC426" s="384"/>
      <c r="AD426" s="384"/>
      <c r="AE426" s="384"/>
      <c r="AF426" s="384"/>
      <c r="AG426" s="384"/>
      <c r="AH426" s="384"/>
      <c r="AI426" s="384"/>
      <c r="AJ426" s="384"/>
      <c r="AK426" s="384"/>
      <c r="AL426" s="384"/>
      <c r="AM426" s="384"/>
      <c r="AN426" s="384"/>
      <c r="AO426" s="384"/>
    </row>
    <row r="427" spans="1:41" ht="15.75" customHeight="1">
      <c r="A427" s="349" t="s">
        <v>899</v>
      </c>
      <c r="B427" s="378">
        <f>('Pivot Table for Data Exchange'!$P$510)*100</f>
        <v>0</v>
      </c>
      <c r="C427" s="378">
        <f>('Pivot Table for Data Exchange'!$P$513)*100</f>
        <v>0</v>
      </c>
      <c r="D427" s="379">
        <f t="shared" ref="D427" si="88">SUM(E427:G427)</f>
        <v>0</v>
      </c>
      <c r="E427" s="378">
        <f>('Pivot Table for Data Exchange'!$P$516)*100</f>
        <v>0</v>
      </c>
      <c r="F427" s="378">
        <f>('Pivot Table for Data Exchange'!$P$519)*100</f>
        <v>0</v>
      </c>
      <c r="G427" s="386">
        <f>('Pivot Table for Data Exchange'!$P$522)*100</f>
        <v>0</v>
      </c>
      <c r="H427" s="378">
        <f>('Pivot Table for Data Exchange'!$P$525)*100</f>
        <v>0</v>
      </c>
      <c r="I427" s="349"/>
      <c r="J427" s="417"/>
      <c r="K427" s="417"/>
      <c r="L427" s="417"/>
      <c r="M427" s="417"/>
      <c r="N427" s="417"/>
      <c r="O427" s="417"/>
      <c r="P427" s="417"/>
      <c r="Q427" s="383">
        <f t="shared" si="83"/>
        <v>0</v>
      </c>
      <c r="R427" s="383"/>
      <c r="S427" s="384"/>
      <c r="T427" s="384"/>
      <c r="U427" s="384"/>
      <c r="V427" s="384"/>
      <c r="W427" s="384"/>
      <c r="X427" s="384"/>
      <c r="Y427" s="384"/>
      <c r="Z427" s="384"/>
      <c r="AA427" s="384"/>
      <c r="AB427" s="384"/>
      <c r="AC427" s="384"/>
      <c r="AD427" s="384"/>
      <c r="AE427" s="384"/>
      <c r="AF427" s="384"/>
      <c r="AG427" s="384"/>
      <c r="AH427" s="384"/>
      <c r="AI427" s="384"/>
      <c r="AJ427" s="384"/>
      <c r="AK427" s="384"/>
      <c r="AL427" s="384"/>
      <c r="AM427" s="384"/>
      <c r="AN427" s="384"/>
      <c r="AO427" s="384"/>
    </row>
    <row r="428" spans="1:41" ht="15.75" customHeight="1">
      <c r="A428" s="355" t="s">
        <v>900</v>
      </c>
      <c r="B428" s="391">
        <f>('Pivot Table for Data Exchange'!$P$546)*100</f>
        <v>0</v>
      </c>
      <c r="C428" s="391">
        <f>('Pivot Table for Data Exchange'!$P$549)*100</f>
        <v>0</v>
      </c>
      <c r="D428" s="392">
        <f>SUM(E428:G428)</f>
        <v>0</v>
      </c>
      <c r="E428" s="391">
        <f>('Pivot Table for Data Exchange'!$P$552)*100</f>
        <v>0</v>
      </c>
      <c r="F428" s="391">
        <f>('Pivot Table for Data Exchange'!$P$555)*100</f>
        <v>0</v>
      </c>
      <c r="G428" s="393">
        <f>('Pivot Table for Data Exchange'!$P$558)*100</f>
        <v>0</v>
      </c>
      <c r="H428" s="391">
        <f>('Pivot Table for Data Exchange'!$P$561)*100</f>
        <v>0</v>
      </c>
      <c r="I428" s="349"/>
      <c r="J428" s="417"/>
      <c r="K428" s="417"/>
      <c r="L428" s="417"/>
      <c r="M428" s="417"/>
      <c r="N428" s="417"/>
      <c r="O428" s="417"/>
      <c r="P428" s="417"/>
      <c r="Q428" s="383">
        <f t="shared" si="83"/>
        <v>0</v>
      </c>
      <c r="R428" s="383"/>
      <c r="S428" s="384"/>
      <c r="T428" s="384"/>
      <c r="U428" s="384"/>
      <c r="V428" s="384"/>
      <c r="W428" s="384"/>
      <c r="X428" s="384"/>
      <c r="Y428" s="384"/>
      <c r="Z428" s="384"/>
      <c r="AA428" s="384"/>
      <c r="AB428" s="384"/>
      <c r="AC428" s="384"/>
      <c r="AD428" s="384"/>
      <c r="AE428" s="384"/>
      <c r="AF428" s="384"/>
      <c r="AG428" s="384"/>
      <c r="AH428" s="384"/>
      <c r="AI428" s="384"/>
      <c r="AJ428" s="384"/>
      <c r="AK428" s="384"/>
      <c r="AL428" s="384"/>
      <c r="AM428" s="384"/>
      <c r="AN428" s="384"/>
      <c r="AO428" s="384"/>
    </row>
    <row r="429" spans="1:41" s="396" customFormat="1" ht="12" customHeight="1">
      <c r="A429" s="397" t="s">
        <v>926</v>
      </c>
      <c r="B429" s="398"/>
      <c r="C429" s="398"/>
      <c r="D429" s="399"/>
      <c r="E429" s="398"/>
      <c r="F429" s="399"/>
      <c r="G429" s="399"/>
      <c r="H429" s="398"/>
      <c r="I429" s="407"/>
      <c r="J429" s="398"/>
      <c r="K429" s="398"/>
      <c r="L429" s="399"/>
      <c r="M429" s="398"/>
      <c r="N429" s="399"/>
      <c r="O429" s="399"/>
      <c r="P429" s="398"/>
      <c r="Q429" s="383">
        <f t="shared" si="83"/>
        <v>0</v>
      </c>
      <c r="R429" s="418"/>
      <c r="S429" s="400"/>
      <c r="T429" s="400"/>
      <c r="U429" s="400"/>
      <c r="V429" s="400"/>
      <c r="W429" s="400"/>
      <c r="X429" s="400"/>
      <c r="Y429" s="400"/>
      <c r="Z429" s="400"/>
      <c r="AA429" s="400"/>
      <c r="AB429" s="400"/>
      <c r="AC429" s="400"/>
      <c r="AD429" s="400"/>
      <c r="AE429" s="400"/>
      <c r="AF429" s="400"/>
      <c r="AG429" s="400"/>
      <c r="AH429" s="400"/>
      <c r="AI429" s="400"/>
      <c r="AJ429" s="400"/>
      <c r="AK429" s="400"/>
      <c r="AL429" s="400"/>
      <c r="AM429" s="400"/>
      <c r="AN429" s="400"/>
      <c r="AO429" s="400"/>
    </row>
    <row r="430" spans="1:41" s="396" customFormat="1" ht="13.5" customHeight="1">
      <c r="A430" s="407"/>
      <c r="B430" s="408"/>
      <c r="I430" s="407"/>
      <c r="P430" s="409"/>
      <c r="Q430" s="383">
        <f t="shared" si="83"/>
        <v>0</v>
      </c>
      <c r="R430" s="419"/>
    </row>
    <row r="431" spans="1:41" s="396" customFormat="1" ht="13.5" customHeight="1">
      <c r="A431" s="407"/>
      <c r="H431" s="402" t="s">
        <v>1007</v>
      </c>
      <c r="I431" s="407"/>
      <c r="Q431" s="383">
        <f t="shared" si="83"/>
        <v>0</v>
      </c>
      <c r="R431" s="419"/>
    </row>
    <row r="432" spans="1:41" ht="18">
      <c r="A432" s="344" t="s">
        <v>949</v>
      </c>
      <c r="B432" s="345"/>
      <c r="C432" s="345"/>
      <c r="D432" s="345"/>
      <c r="E432" s="345"/>
      <c r="F432" s="345"/>
      <c r="G432" s="345"/>
      <c r="H432" s="345"/>
      <c r="Q432" s="383">
        <f t="shared" si="83"/>
        <v>0</v>
      </c>
    </row>
    <row r="433" spans="1:41">
      <c r="A433" s="350"/>
      <c r="B433" s="346"/>
      <c r="C433" s="346"/>
      <c r="D433" s="346"/>
      <c r="E433" s="346"/>
      <c r="F433" s="346"/>
      <c r="G433" s="346"/>
      <c r="H433" s="346"/>
      <c r="Q433" s="383">
        <f t="shared" si="83"/>
        <v>0</v>
      </c>
    </row>
    <row r="434" spans="1:41" ht="15.75">
      <c r="A434" s="352" t="s">
        <v>906</v>
      </c>
      <c r="B434" s="346"/>
      <c r="C434" s="346"/>
      <c r="D434" s="346"/>
      <c r="E434" s="346"/>
      <c r="F434" s="346"/>
      <c r="G434" s="346"/>
      <c r="H434" s="346"/>
      <c r="Q434" s="383">
        <f t="shared" si="83"/>
        <v>0</v>
      </c>
    </row>
    <row r="435" spans="1:41" ht="15.75">
      <c r="A435" s="352" t="s">
        <v>964</v>
      </c>
      <c r="B435" s="346"/>
      <c r="C435" s="346"/>
      <c r="D435" s="346"/>
      <c r="E435" s="346"/>
      <c r="F435" s="346"/>
      <c r="G435" s="346"/>
      <c r="H435" s="346"/>
      <c r="Q435" s="383">
        <f t="shared" si="83"/>
        <v>0</v>
      </c>
    </row>
    <row r="436" spans="1:41">
      <c r="A436" s="355"/>
      <c r="B436" s="356"/>
      <c r="C436" s="356"/>
      <c r="D436" s="356"/>
      <c r="E436" s="356"/>
      <c r="F436" s="356"/>
      <c r="G436" s="356"/>
      <c r="H436" s="356"/>
      <c r="Q436" s="383">
        <f t="shared" si="83"/>
        <v>0</v>
      </c>
    </row>
    <row r="437" spans="1:41">
      <c r="A437" s="360"/>
      <c r="B437" s="361" t="s">
        <v>908</v>
      </c>
      <c r="C437" s="361"/>
      <c r="D437" s="361"/>
      <c r="E437" s="361"/>
      <c r="F437" s="361"/>
      <c r="G437" s="361"/>
      <c r="H437" s="362"/>
      <c r="Q437" s="383">
        <f t="shared" si="83"/>
        <v>0</v>
      </c>
    </row>
    <row r="438" spans="1:41">
      <c r="A438" s="360"/>
      <c r="B438" s="361" t="s">
        <v>909</v>
      </c>
      <c r="C438" s="361"/>
      <c r="D438" s="506" t="s">
        <v>910</v>
      </c>
      <c r="E438" s="504"/>
      <c r="F438" s="504"/>
      <c r="G438" s="504"/>
      <c r="H438" s="368" t="s">
        <v>800</v>
      </c>
      <c r="Q438" s="383">
        <f t="shared" si="83"/>
        <v>0</v>
      </c>
    </row>
    <row r="439" spans="1:41" ht="36">
      <c r="A439" s="360"/>
      <c r="B439" s="369" t="s">
        <v>911</v>
      </c>
      <c r="C439" s="370" t="s">
        <v>912</v>
      </c>
      <c r="D439" s="371" t="s">
        <v>913</v>
      </c>
      <c r="E439" s="372" t="s">
        <v>10</v>
      </c>
      <c r="F439" s="369" t="s">
        <v>914</v>
      </c>
      <c r="G439" s="373" t="s">
        <v>924</v>
      </c>
      <c r="H439" s="374" t="s">
        <v>916</v>
      </c>
      <c r="Q439" s="383">
        <f t="shared" si="83"/>
        <v>0</v>
      </c>
    </row>
    <row r="440" spans="1:41" ht="15.75" customHeight="1">
      <c r="A440" s="404" t="s">
        <v>885</v>
      </c>
      <c r="B440" s="378">
        <f>('Pivot Table for Data Exchange'!$Q$6)*100</f>
        <v>78.89146963651163</v>
      </c>
      <c r="C440" s="378">
        <f>('Pivot Table for Data Exchange'!$Q$9)*100</f>
        <v>8.2802294880193745</v>
      </c>
      <c r="D440" s="379">
        <f>SUM(E440:G440)</f>
        <v>12.828300875469001</v>
      </c>
      <c r="E440" s="378">
        <f>('Pivot Table for Data Exchange'!$Q$12)*100</f>
        <v>12.828300875469001</v>
      </c>
      <c r="F440" s="378">
        <f>('Pivot Table for Data Exchange'!$Q$15)*100</f>
        <v>0</v>
      </c>
      <c r="G440" s="382">
        <f>('Pivot Table for Data Exchange'!$Q$18)*100</f>
        <v>0</v>
      </c>
      <c r="H440" s="378">
        <f>('Pivot Table for Data Exchange'!$Q$21)*100</f>
        <v>0</v>
      </c>
      <c r="I440" s="349"/>
      <c r="J440" s="417"/>
      <c r="K440" s="417"/>
      <c r="L440" s="417"/>
      <c r="M440" s="417"/>
      <c r="N440" s="417"/>
      <c r="O440" s="417"/>
      <c r="P440" s="417"/>
      <c r="Q440" s="383">
        <f t="shared" si="83"/>
        <v>100</v>
      </c>
      <c r="R440" s="383"/>
      <c r="S440" s="384"/>
      <c r="T440" s="384"/>
      <c r="U440" s="384"/>
      <c r="V440" s="384"/>
      <c r="W440" s="384"/>
      <c r="X440" s="384"/>
      <c r="Y440" s="384"/>
      <c r="Z440" s="384"/>
      <c r="AA440" s="384"/>
      <c r="AB440" s="384"/>
      <c r="AC440" s="384"/>
      <c r="AD440" s="384"/>
      <c r="AE440" s="384"/>
      <c r="AF440" s="384"/>
      <c r="AG440" s="384"/>
      <c r="AH440" s="384"/>
      <c r="AI440" s="384"/>
      <c r="AJ440" s="384"/>
      <c r="AK440" s="384"/>
      <c r="AL440" s="384"/>
      <c r="AM440" s="384"/>
      <c r="AN440" s="384"/>
      <c r="AO440" s="384"/>
    </row>
    <row r="441" spans="1:41" ht="15.75" customHeight="1">
      <c r="A441" s="349" t="s">
        <v>886</v>
      </c>
      <c r="B441" s="378">
        <f>('Pivot Table for Data Exchange'!$Q$42)*100</f>
        <v>0</v>
      </c>
      <c r="C441" s="378">
        <f>('Pivot Table for Data Exchange'!$Q$45)*100</f>
        <v>0</v>
      </c>
      <c r="D441" s="379">
        <f t="shared" ref="D441:D443" si="89">SUM(E441:G441)</f>
        <v>0</v>
      </c>
      <c r="E441" s="378">
        <f>('Pivot Table for Data Exchange'!$Q$48)*100</f>
        <v>0</v>
      </c>
      <c r="F441" s="378">
        <f>('Pivot Table for Data Exchange'!$Q$51)*100</f>
        <v>0</v>
      </c>
      <c r="G441" s="386">
        <f>('Pivot Table for Data Exchange'!$Q$54)*100</f>
        <v>0</v>
      </c>
      <c r="H441" s="378">
        <f>('Pivot Table for Data Exchange'!$Q$57)*100</f>
        <v>0</v>
      </c>
      <c r="I441" s="349"/>
      <c r="J441" s="417"/>
      <c r="K441" s="417"/>
      <c r="L441" s="417"/>
      <c r="M441" s="417"/>
      <c r="N441" s="417"/>
      <c r="O441" s="417"/>
      <c r="P441" s="417"/>
      <c r="Q441" s="383">
        <f t="shared" si="83"/>
        <v>0</v>
      </c>
      <c r="R441" s="383"/>
      <c r="S441" s="384"/>
      <c r="T441" s="384"/>
      <c r="U441" s="384"/>
      <c r="V441" s="384"/>
      <c r="W441" s="384"/>
      <c r="X441" s="384"/>
      <c r="Y441" s="384"/>
      <c r="Z441" s="384"/>
      <c r="AA441" s="384"/>
      <c r="AB441" s="384"/>
      <c r="AC441" s="384"/>
      <c r="AD441" s="384"/>
      <c r="AE441" s="384"/>
      <c r="AF441" s="384"/>
      <c r="AG441" s="384"/>
      <c r="AH441" s="384"/>
      <c r="AI441" s="384"/>
      <c r="AJ441" s="384"/>
      <c r="AK441" s="384"/>
      <c r="AL441" s="384"/>
      <c r="AM441" s="384"/>
      <c r="AN441" s="384"/>
      <c r="AO441" s="384"/>
    </row>
    <row r="442" spans="1:41" ht="15.75" customHeight="1">
      <c r="A442" s="349" t="s">
        <v>887</v>
      </c>
      <c r="B442" s="378">
        <f>('Pivot Table for Data Exchange'!$Q$78)*100</f>
        <v>0</v>
      </c>
      <c r="C442" s="378">
        <f>('Pivot Table for Data Exchange'!$Q$81)*100</f>
        <v>0</v>
      </c>
      <c r="D442" s="379">
        <f t="shared" si="89"/>
        <v>0</v>
      </c>
      <c r="E442" s="378">
        <f>('Pivot Table for Data Exchange'!$Q$84)*100</f>
        <v>0</v>
      </c>
      <c r="F442" s="378">
        <f>('Pivot Table for Data Exchange'!$Q$87)*100</f>
        <v>0</v>
      </c>
      <c r="G442" s="386">
        <f>('Pivot Table for Data Exchange'!$Q$90)*100</f>
        <v>0</v>
      </c>
      <c r="H442" s="378">
        <f>('Pivot Table for Data Exchange'!$Q$93)*100</f>
        <v>0</v>
      </c>
      <c r="I442" s="349"/>
      <c r="J442" s="417"/>
      <c r="K442" s="417"/>
      <c r="L442" s="417"/>
      <c r="M442" s="417"/>
      <c r="N442" s="417"/>
      <c r="O442" s="417"/>
      <c r="P442" s="417"/>
      <c r="Q442" s="383">
        <f t="shared" si="83"/>
        <v>0</v>
      </c>
      <c r="R442" s="383"/>
      <c r="S442" s="384"/>
      <c r="T442" s="358"/>
      <c r="U442" s="384"/>
      <c r="V442" s="384"/>
      <c r="W442" s="384"/>
      <c r="X442" s="384"/>
      <c r="Y442" s="384"/>
      <c r="Z442" s="384"/>
      <c r="AA442" s="384"/>
      <c r="AB442" s="384"/>
      <c r="AC442" s="384"/>
      <c r="AD442" s="384"/>
      <c r="AE442" s="384"/>
      <c r="AF442" s="384"/>
      <c r="AG442" s="384"/>
      <c r="AH442" s="384"/>
      <c r="AI442" s="384"/>
      <c r="AJ442" s="384"/>
      <c r="AK442" s="384"/>
      <c r="AL442" s="384"/>
      <c r="AM442" s="384"/>
      <c r="AN442" s="384"/>
      <c r="AO442" s="384"/>
    </row>
    <row r="443" spans="1:41" ht="15.75" customHeight="1">
      <c r="A443" s="349" t="s">
        <v>888</v>
      </c>
      <c r="B443" s="378">
        <f>('Pivot Table for Data Exchange'!$Q$114)*100</f>
        <v>0</v>
      </c>
      <c r="C443" s="378">
        <f>('Pivot Table for Data Exchange'!$Q$117)*100</f>
        <v>0</v>
      </c>
      <c r="D443" s="379">
        <f t="shared" si="89"/>
        <v>0</v>
      </c>
      <c r="E443" s="378">
        <f>('Pivot Table for Data Exchange'!$Q$120)*100</f>
        <v>0</v>
      </c>
      <c r="F443" s="378">
        <f>('Pivot Table for Data Exchange'!$Q$123)*100</f>
        <v>0</v>
      </c>
      <c r="G443" s="386">
        <f>('Pivot Table for Data Exchange'!$Q$126)*100</f>
        <v>0</v>
      </c>
      <c r="H443" s="378">
        <f>('Pivot Table for Data Exchange'!$Q$129)*100</f>
        <v>0</v>
      </c>
      <c r="I443" s="349"/>
      <c r="J443" s="417"/>
      <c r="K443" s="417"/>
      <c r="L443" s="417"/>
      <c r="M443" s="417"/>
      <c r="N443" s="417"/>
      <c r="O443" s="417"/>
      <c r="P443" s="417"/>
      <c r="Q443" s="383">
        <f t="shared" si="83"/>
        <v>0</v>
      </c>
      <c r="R443" s="383"/>
      <c r="S443" s="384"/>
      <c r="U443" s="384"/>
      <c r="V443" s="384"/>
      <c r="W443" s="384"/>
      <c r="X443" s="384"/>
      <c r="Y443" s="384"/>
      <c r="Z443" s="384"/>
      <c r="AA443" s="384"/>
      <c r="AB443" s="384"/>
      <c r="AC443" s="384"/>
      <c r="AD443" s="384"/>
      <c r="AE443" s="384"/>
      <c r="AF443" s="384"/>
      <c r="AG443" s="384"/>
      <c r="AH443" s="384"/>
      <c r="AI443" s="384"/>
      <c r="AJ443" s="384"/>
      <c r="AK443" s="384"/>
      <c r="AL443" s="384"/>
      <c r="AM443" s="384"/>
      <c r="AN443" s="384"/>
      <c r="AO443" s="384"/>
    </row>
    <row r="444" spans="1:41" ht="15.75" customHeight="1">
      <c r="B444" s="378"/>
      <c r="C444" s="378"/>
      <c r="D444" s="379"/>
      <c r="E444" s="378"/>
      <c r="F444" s="378"/>
      <c r="G444" s="386"/>
      <c r="H444" s="378"/>
      <c r="I444" s="349"/>
      <c r="J444" s="417"/>
      <c r="K444" s="417"/>
      <c r="L444" s="417"/>
      <c r="M444" s="417"/>
      <c r="N444" s="417"/>
      <c r="O444" s="417"/>
      <c r="P444" s="417"/>
      <c r="Q444" s="383">
        <f t="shared" si="83"/>
        <v>0</v>
      </c>
      <c r="R444" s="383"/>
      <c r="S444" s="384"/>
      <c r="U444" s="384"/>
      <c r="V444" s="384"/>
      <c r="W444" s="384"/>
      <c r="X444" s="384"/>
      <c r="Y444" s="384"/>
      <c r="Z444" s="384"/>
      <c r="AA444" s="384"/>
      <c r="AB444" s="384"/>
      <c r="AC444" s="384"/>
      <c r="AD444" s="384"/>
      <c r="AE444" s="384"/>
      <c r="AF444" s="384"/>
      <c r="AG444" s="384"/>
      <c r="AH444" s="384"/>
      <c r="AI444" s="384"/>
      <c r="AJ444" s="384"/>
      <c r="AK444" s="384"/>
      <c r="AL444" s="384"/>
      <c r="AM444" s="384"/>
      <c r="AN444" s="384"/>
      <c r="AO444" s="384"/>
    </row>
    <row r="445" spans="1:41" ht="15.75" customHeight="1">
      <c r="A445" s="349" t="s">
        <v>889</v>
      </c>
      <c r="B445" s="378">
        <f>('Pivot Table for Data Exchange'!$Q$150)*100</f>
        <v>0</v>
      </c>
      <c r="C445" s="378">
        <f>('Pivot Table for Data Exchange'!$Q$153)*100</f>
        <v>0</v>
      </c>
      <c r="D445" s="379">
        <f t="shared" ref="D445:D448" si="90">SUM(E445:G445)</f>
        <v>0</v>
      </c>
      <c r="E445" s="378">
        <f>('Pivot Table for Data Exchange'!$Q$156)*100</f>
        <v>0</v>
      </c>
      <c r="F445" s="378">
        <f>('Pivot Table for Data Exchange'!$Q$159)*100</f>
        <v>0</v>
      </c>
      <c r="G445" s="386">
        <f>('Pivot Table for Data Exchange'!$Q$162)*100</f>
        <v>0</v>
      </c>
      <c r="H445" s="378">
        <f>('Pivot Table for Data Exchange'!$Q$165)*100</f>
        <v>0</v>
      </c>
      <c r="I445" s="349"/>
      <c r="J445" s="417"/>
      <c r="K445" s="417"/>
      <c r="L445" s="417"/>
      <c r="M445" s="417"/>
      <c r="N445" s="417"/>
      <c r="O445" s="417"/>
      <c r="P445" s="417"/>
      <c r="Q445" s="383">
        <f t="shared" si="83"/>
        <v>0</v>
      </c>
      <c r="R445" s="383"/>
      <c r="S445" s="384"/>
      <c r="T445" s="384"/>
      <c r="U445" s="384"/>
      <c r="V445" s="384"/>
      <c r="W445" s="384"/>
      <c r="X445" s="384"/>
      <c r="Y445" s="384"/>
      <c r="Z445" s="384"/>
      <c r="AA445" s="384"/>
      <c r="AB445" s="384"/>
      <c r="AC445" s="384"/>
      <c r="AD445" s="384"/>
      <c r="AE445" s="384"/>
      <c r="AF445" s="384"/>
      <c r="AG445" s="384"/>
      <c r="AH445" s="384"/>
      <c r="AI445" s="384"/>
      <c r="AJ445" s="384"/>
      <c r="AK445" s="384"/>
      <c r="AL445" s="384"/>
      <c r="AM445" s="384"/>
      <c r="AN445" s="384"/>
      <c r="AO445" s="384"/>
    </row>
    <row r="446" spans="1:41" ht="15.75" customHeight="1">
      <c r="A446" s="349" t="s">
        <v>890</v>
      </c>
      <c r="B446" s="378">
        <f>('Pivot Table for Data Exchange'!$Q$186)*100</f>
        <v>0</v>
      </c>
      <c r="C446" s="378">
        <f>('Pivot Table for Data Exchange'!$Q$189)*100</f>
        <v>0</v>
      </c>
      <c r="D446" s="379">
        <f t="shared" si="90"/>
        <v>0</v>
      </c>
      <c r="E446" s="378">
        <f>('Pivot Table for Data Exchange'!$Q$192)*100</f>
        <v>0</v>
      </c>
      <c r="F446" s="378">
        <f>('Pivot Table for Data Exchange'!$Q$195)*100</f>
        <v>0</v>
      </c>
      <c r="G446" s="386">
        <f>('Pivot Table for Data Exchange'!$Q$198)*100</f>
        <v>0</v>
      </c>
      <c r="H446" s="378">
        <f>('Pivot Table for Data Exchange'!$Q$201)*100</f>
        <v>0</v>
      </c>
      <c r="I446" s="349"/>
      <c r="J446" s="417"/>
      <c r="K446" s="417"/>
      <c r="L446" s="417"/>
      <c r="M446" s="417"/>
      <c r="N446" s="417"/>
      <c r="O446" s="417"/>
      <c r="P446" s="417"/>
      <c r="Q446" s="383">
        <f t="shared" si="83"/>
        <v>0</v>
      </c>
      <c r="R446" s="383"/>
      <c r="S446" s="384"/>
      <c r="T446" s="384"/>
      <c r="U446" s="384"/>
      <c r="V446" s="384"/>
      <c r="W446" s="384"/>
      <c r="X446" s="384"/>
      <c r="Y446" s="384"/>
      <c r="Z446" s="384"/>
      <c r="AA446" s="384"/>
      <c r="AB446" s="384"/>
      <c r="AC446" s="384"/>
      <c r="AD446" s="384"/>
      <c r="AE446" s="384"/>
      <c r="AF446" s="384"/>
      <c r="AG446" s="384"/>
      <c r="AH446" s="384"/>
      <c r="AI446" s="384"/>
      <c r="AJ446" s="384"/>
      <c r="AK446" s="384"/>
      <c r="AL446" s="384"/>
      <c r="AM446" s="384"/>
      <c r="AN446" s="384"/>
      <c r="AO446" s="384"/>
    </row>
    <row r="447" spans="1:41" ht="15.75" customHeight="1">
      <c r="A447" s="349" t="s">
        <v>891</v>
      </c>
      <c r="B447" s="378">
        <f>('Pivot Table for Data Exchange'!$Q$222)*100</f>
        <v>0</v>
      </c>
      <c r="C447" s="378">
        <f>('Pivot Table for Data Exchange'!$Q$225)*100</f>
        <v>0</v>
      </c>
      <c r="D447" s="379">
        <f t="shared" si="90"/>
        <v>0</v>
      </c>
      <c r="E447" s="378">
        <f>('Pivot Table for Data Exchange'!$Q$228)*100</f>
        <v>0</v>
      </c>
      <c r="F447" s="378">
        <f>('Pivot Table for Data Exchange'!$Q$231)*100</f>
        <v>0</v>
      </c>
      <c r="G447" s="386">
        <f>('Pivot Table for Data Exchange'!$Q$234)*100</f>
        <v>0</v>
      </c>
      <c r="H447" s="378">
        <f>('Pivot Table for Data Exchange'!$Q$237)*100</f>
        <v>0</v>
      </c>
      <c r="I447" s="424"/>
      <c r="J447" s="417"/>
      <c r="K447" s="417"/>
      <c r="L447" s="417"/>
      <c r="M447" s="417"/>
      <c r="N447" s="417"/>
      <c r="O447" s="417"/>
      <c r="P447" s="417"/>
      <c r="Q447" s="383">
        <f>SUM(I447,C447,D447,H447)</f>
        <v>0</v>
      </c>
      <c r="R447" s="383"/>
      <c r="S447" s="384"/>
      <c r="T447" s="358"/>
      <c r="U447" s="384"/>
      <c r="V447" s="384"/>
      <c r="W447" s="384"/>
      <c r="X447" s="384"/>
      <c r="Y447" s="384"/>
      <c r="Z447" s="384"/>
      <c r="AA447" s="384"/>
      <c r="AB447" s="384"/>
      <c r="AC447" s="384"/>
      <c r="AD447" s="384"/>
      <c r="AE447" s="384"/>
      <c r="AF447" s="384"/>
      <c r="AG447" s="384"/>
      <c r="AH447" s="384"/>
      <c r="AI447" s="384"/>
      <c r="AJ447" s="384"/>
      <c r="AK447" s="384"/>
      <c r="AL447" s="384"/>
      <c r="AM447" s="384"/>
      <c r="AN447" s="384"/>
      <c r="AO447" s="384"/>
    </row>
    <row r="448" spans="1:41" ht="15.75" customHeight="1">
      <c r="A448" s="349" t="s">
        <v>892</v>
      </c>
      <c r="B448" s="378">
        <f>('Pivot Table for Data Exchange'!$Q$258)*100</f>
        <v>0</v>
      </c>
      <c r="C448" s="378">
        <f>('Pivot Table for Data Exchange'!$Q$261)*100</f>
        <v>0</v>
      </c>
      <c r="D448" s="379">
        <f t="shared" si="90"/>
        <v>0</v>
      </c>
      <c r="E448" s="378">
        <f>('Pivot Table for Data Exchange'!$Q$264)*100</f>
        <v>0</v>
      </c>
      <c r="F448" s="378">
        <f>('Pivot Table for Data Exchange'!$Q$267)*100</f>
        <v>0</v>
      </c>
      <c r="G448" s="386">
        <f>('Pivot Table for Data Exchange'!$Q$270)*100</f>
        <v>0</v>
      </c>
      <c r="H448" s="378">
        <f>('Pivot Table for Data Exchange'!$Q$273)*100</f>
        <v>0</v>
      </c>
      <c r="I448" s="349"/>
      <c r="J448" s="417"/>
      <c r="K448" s="417"/>
      <c r="L448" s="417"/>
      <c r="M448" s="417"/>
      <c r="N448" s="417"/>
      <c r="O448" s="417"/>
      <c r="P448" s="417"/>
      <c r="Q448" s="383">
        <f t="shared" si="83"/>
        <v>0</v>
      </c>
      <c r="R448" s="383"/>
      <c r="S448" s="384"/>
      <c r="U448" s="384"/>
      <c r="V448" s="384"/>
      <c r="W448" s="384"/>
      <c r="X448" s="384"/>
      <c r="Y448" s="384"/>
      <c r="Z448" s="384"/>
      <c r="AA448" s="384"/>
      <c r="AB448" s="384"/>
      <c r="AC448" s="384"/>
      <c r="AD448" s="384"/>
      <c r="AE448" s="384"/>
      <c r="AF448" s="384"/>
      <c r="AG448" s="384"/>
      <c r="AH448" s="384"/>
      <c r="AI448" s="384"/>
      <c r="AJ448" s="384"/>
      <c r="AK448" s="384"/>
      <c r="AL448" s="384"/>
      <c r="AM448" s="384"/>
      <c r="AN448" s="384"/>
      <c r="AO448" s="384"/>
    </row>
    <row r="449" spans="1:41" ht="15.75" customHeight="1">
      <c r="B449" s="378"/>
      <c r="C449" s="378"/>
      <c r="D449" s="379"/>
      <c r="E449" s="378"/>
      <c r="F449" s="378"/>
      <c r="G449" s="386"/>
      <c r="H449" s="378"/>
      <c r="I449" s="349"/>
      <c r="J449" s="417"/>
      <c r="K449" s="417"/>
      <c r="L449" s="417"/>
      <c r="M449" s="417"/>
      <c r="N449" s="417"/>
      <c r="O449" s="417"/>
      <c r="P449" s="417"/>
      <c r="Q449" s="383">
        <f t="shared" si="83"/>
        <v>0</v>
      </c>
      <c r="R449" s="383"/>
      <c r="S449" s="384"/>
      <c r="U449" s="384"/>
      <c r="V449" s="384"/>
      <c r="W449" s="384"/>
      <c r="X449" s="384"/>
      <c r="Y449" s="384"/>
      <c r="Z449" s="384"/>
      <c r="AA449" s="384"/>
      <c r="AB449" s="384"/>
      <c r="AC449" s="384"/>
      <c r="AD449" s="384"/>
      <c r="AE449" s="384"/>
      <c r="AF449" s="384"/>
      <c r="AG449" s="384"/>
      <c r="AH449" s="384"/>
      <c r="AI449" s="384"/>
      <c r="AJ449" s="384"/>
      <c r="AK449" s="384"/>
      <c r="AL449" s="384"/>
      <c r="AM449" s="384"/>
      <c r="AN449" s="384"/>
      <c r="AO449" s="384"/>
    </row>
    <row r="450" spans="1:41" ht="15.75" customHeight="1">
      <c r="A450" s="349" t="s">
        <v>893</v>
      </c>
      <c r="B450" s="378">
        <f>('Pivot Table for Data Exchange'!$Q$294)*100</f>
        <v>0</v>
      </c>
      <c r="C450" s="378">
        <f>('Pivot Table for Data Exchange'!$Q$297)*100</f>
        <v>0</v>
      </c>
      <c r="D450" s="379">
        <f t="shared" ref="D450:D452" si="91">SUM(E450:G450)</f>
        <v>0</v>
      </c>
      <c r="E450" s="378">
        <f>('Pivot Table for Data Exchange'!$Q$300)*100</f>
        <v>0</v>
      </c>
      <c r="F450" s="378">
        <f>('Pivot Table for Data Exchange'!$Q$303)*100</f>
        <v>0</v>
      </c>
      <c r="G450" s="386">
        <f>('Pivot Table for Data Exchange'!$Q$306)*100</f>
        <v>0</v>
      </c>
      <c r="H450" s="378">
        <f>('Pivot Table for Data Exchange'!$Q$309)*100</f>
        <v>0</v>
      </c>
      <c r="I450" s="349"/>
      <c r="J450" s="417"/>
      <c r="K450" s="417"/>
      <c r="L450" s="417"/>
      <c r="M450" s="417"/>
      <c r="N450" s="417"/>
      <c r="O450" s="417"/>
      <c r="P450" s="417"/>
      <c r="Q450" s="383">
        <f t="shared" si="83"/>
        <v>0</v>
      </c>
      <c r="R450" s="383"/>
      <c r="S450" s="384"/>
      <c r="T450" s="384"/>
      <c r="U450" s="384"/>
      <c r="V450" s="384"/>
      <c r="W450" s="384"/>
      <c r="X450" s="384"/>
      <c r="Y450" s="384"/>
      <c r="Z450" s="384"/>
      <c r="AA450" s="384"/>
      <c r="AB450" s="384"/>
      <c r="AC450" s="384"/>
      <c r="AD450" s="384"/>
      <c r="AE450" s="384"/>
      <c r="AF450" s="384"/>
      <c r="AG450" s="384"/>
      <c r="AH450" s="384"/>
      <c r="AI450" s="384"/>
      <c r="AJ450" s="384"/>
      <c r="AK450" s="384"/>
      <c r="AL450" s="384"/>
      <c r="AM450" s="384"/>
      <c r="AN450" s="384"/>
      <c r="AO450" s="384"/>
    </row>
    <row r="451" spans="1:41" ht="15.75" customHeight="1">
      <c r="A451" s="349" t="s">
        <v>894</v>
      </c>
      <c r="B451" s="378">
        <f>('Pivot Table for Data Exchange'!$Q$330)*100</f>
        <v>0</v>
      </c>
      <c r="C451" s="378">
        <f>('Pivot Table for Data Exchange'!$Q$333)*100</f>
        <v>0</v>
      </c>
      <c r="D451" s="379">
        <f t="shared" si="91"/>
        <v>0</v>
      </c>
      <c r="E451" s="378">
        <f>('Pivot Table for Data Exchange'!$Q$336)*100</f>
        <v>0</v>
      </c>
      <c r="F451" s="378">
        <f>('Pivot Table for Data Exchange'!$Q$339)*100</f>
        <v>0</v>
      </c>
      <c r="G451" s="386">
        <f>('Pivot Table for Data Exchange'!$Q$342)*100</f>
        <v>0</v>
      </c>
      <c r="H451" s="378">
        <f>('Pivot Table for Data Exchange'!$Q$345)*100</f>
        <v>0</v>
      </c>
      <c r="I451" s="349"/>
      <c r="J451" s="417"/>
      <c r="K451" s="417"/>
      <c r="L451" s="417"/>
      <c r="M451" s="417"/>
      <c r="N451" s="417"/>
      <c r="O451" s="417"/>
      <c r="P451" s="417"/>
      <c r="Q451" s="383">
        <f t="shared" si="83"/>
        <v>0</v>
      </c>
      <c r="R451" s="383"/>
      <c r="S451" s="384"/>
      <c r="T451" s="384"/>
      <c r="U451" s="384"/>
      <c r="V451" s="384"/>
      <c r="W451" s="384"/>
      <c r="X451" s="384"/>
      <c r="Y451" s="384"/>
      <c r="Z451" s="384"/>
      <c r="AA451" s="384"/>
      <c r="AB451" s="384"/>
      <c r="AC451" s="384"/>
      <c r="AD451" s="384"/>
      <c r="AE451" s="384"/>
      <c r="AF451" s="384"/>
      <c r="AG451" s="384"/>
      <c r="AH451" s="384"/>
      <c r="AI451" s="384"/>
      <c r="AJ451" s="384"/>
      <c r="AK451" s="384"/>
      <c r="AL451" s="384"/>
      <c r="AM451" s="384"/>
      <c r="AN451" s="384"/>
      <c r="AO451" s="384"/>
    </row>
    <row r="452" spans="1:41" ht="15.75" customHeight="1">
      <c r="A452" s="349" t="s">
        <v>895</v>
      </c>
      <c r="B452" s="378">
        <f>('Pivot Table for Data Exchange'!$Q$366)*100</f>
        <v>0</v>
      </c>
      <c r="C452" s="378">
        <f>('Pivot Table for Data Exchange'!$Q$369)*100</f>
        <v>0</v>
      </c>
      <c r="D452" s="379">
        <f t="shared" si="91"/>
        <v>0</v>
      </c>
      <c r="E452" s="378">
        <f>('Pivot Table for Data Exchange'!$Q$372)*100</f>
        <v>0</v>
      </c>
      <c r="F452" s="378">
        <f>('Pivot Table for Data Exchange'!$Q$375)*100</f>
        <v>0</v>
      </c>
      <c r="G452" s="386">
        <f>('Pivot Table for Data Exchange'!$Q$378)*100</f>
        <v>0</v>
      </c>
      <c r="H452" s="378">
        <f>('Pivot Table for Data Exchange'!$Q$381)*100</f>
        <v>0</v>
      </c>
      <c r="I452" s="349"/>
      <c r="J452" s="417"/>
      <c r="K452" s="417"/>
      <c r="L452" s="417"/>
      <c r="M452" s="417"/>
      <c r="N452" s="417"/>
      <c r="O452" s="417"/>
      <c r="P452" s="417"/>
      <c r="Q452" s="383">
        <f t="shared" si="83"/>
        <v>0</v>
      </c>
      <c r="R452" s="383"/>
      <c r="S452" s="384"/>
      <c r="T452" s="358"/>
      <c r="U452" s="384"/>
      <c r="V452" s="384"/>
      <c r="W452" s="384"/>
      <c r="X452" s="384"/>
      <c r="Y452" s="384"/>
      <c r="Z452" s="384"/>
      <c r="AA452" s="384"/>
      <c r="AB452" s="384"/>
      <c r="AC452" s="384"/>
      <c r="AD452" s="384"/>
      <c r="AE452" s="384"/>
      <c r="AF452" s="384"/>
      <c r="AG452" s="384"/>
      <c r="AH452" s="384"/>
      <c r="AI452" s="384"/>
      <c r="AJ452" s="384"/>
      <c r="AK452" s="384"/>
      <c r="AL452" s="384"/>
      <c r="AM452" s="384"/>
      <c r="AN452" s="384"/>
      <c r="AO452" s="384"/>
    </row>
    <row r="453" spans="1:41" ht="15.75" customHeight="1">
      <c r="A453" s="349" t="s">
        <v>896</v>
      </c>
      <c r="B453" s="378">
        <f>('Pivot Table for Data Exchange'!$Q$402)*100</f>
        <v>0</v>
      </c>
      <c r="C453" s="378">
        <f>('Pivot Table for Data Exchange'!$Q$405)*100</f>
        <v>0</v>
      </c>
      <c r="D453" s="379">
        <f>SUM(E453:G453)</f>
        <v>0</v>
      </c>
      <c r="E453" s="378">
        <f>('Pivot Table for Data Exchange'!$Q$408)*100</f>
        <v>0</v>
      </c>
      <c r="F453" s="378">
        <f>('Pivot Table for Data Exchange'!$Q$411)*100</f>
        <v>0</v>
      </c>
      <c r="G453" s="386">
        <f>('Pivot Table for Data Exchange'!$Q$414)*100</f>
        <v>0</v>
      </c>
      <c r="H453" s="378">
        <f>('Pivot Table for Data Exchange'!$Q$417)*100</f>
        <v>0</v>
      </c>
      <c r="I453" s="349"/>
      <c r="J453" s="417"/>
      <c r="K453" s="417"/>
      <c r="L453" s="417"/>
      <c r="M453" s="417"/>
      <c r="N453" s="417"/>
      <c r="O453" s="417"/>
      <c r="P453" s="417"/>
      <c r="Q453" s="383">
        <f t="shared" si="83"/>
        <v>0</v>
      </c>
      <c r="R453" s="383"/>
      <c r="S453" s="384"/>
      <c r="T453" s="384"/>
      <c r="U453" s="384"/>
      <c r="V453" s="384"/>
      <c r="W453" s="384"/>
      <c r="X453" s="384"/>
      <c r="Y453" s="384"/>
      <c r="Z453" s="384"/>
      <c r="AA453" s="384"/>
      <c r="AB453" s="384"/>
      <c r="AC453" s="384"/>
      <c r="AD453" s="384"/>
      <c r="AE453" s="384"/>
      <c r="AF453" s="384"/>
      <c r="AG453" s="384"/>
      <c r="AH453" s="384"/>
      <c r="AI453" s="384"/>
      <c r="AJ453" s="384"/>
      <c r="AK453" s="384"/>
      <c r="AL453" s="384"/>
      <c r="AM453" s="384"/>
      <c r="AN453" s="384"/>
      <c r="AO453" s="384"/>
    </row>
    <row r="454" spans="1:41" ht="15.75" customHeight="1">
      <c r="B454" s="378"/>
      <c r="C454" s="378"/>
      <c r="D454" s="379"/>
      <c r="E454" s="378"/>
      <c r="F454" s="378"/>
      <c r="G454" s="386"/>
      <c r="H454" s="378"/>
      <c r="I454" s="349"/>
      <c r="J454" s="417"/>
      <c r="K454" s="417"/>
      <c r="L454" s="417"/>
      <c r="M454" s="417"/>
      <c r="N454" s="417"/>
      <c r="O454" s="417"/>
      <c r="P454" s="417"/>
      <c r="Q454" s="383">
        <f t="shared" si="83"/>
        <v>0</v>
      </c>
      <c r="R454" s="383"/>
      <c r="S454" s="384"/>
      <c r="T454" s="384"/>
      <c r="U454" s="384"/>
      <c r="V454" s="384"/>
      <c r="W454" s="384"/>
      <c r="X454" s="384"/>
      <c r="Y454" s="384"/>
      <c r="Z454" s="384"/>
      <c r="AA454" s="384"/>
      <c r="AB454" s="384"/>
      <c r="AC454" s="384"/>
      <c r="AD454" s="384"/>
      <c r="AE454" s="384"/>
      <c r="AF454" s="384"/>
      <c r="AG454" s="384"/>
      <c r="AH454" s="384"/>
      <c r="AI454" s="384"/>
      <c r="AJ454" s="384"/>
      <c r="AK454" s="384"/>
      <c r="AL454" s="384"/>
      <c r="AM454" s="384"/>
      <c r="AN454" s="384"/>
      <c r="AO454" s="384"/>
    </row>
    <row r="455" spans="1:41" ht="15.75" customHeight="1">
      <c r="A455" s="349" t="s">
        <v>897</v>
      </c>
      <c r="B455" s="378">
        <f>('Pivot Table for Data Exchange'!$Q$438)*100</f>
        <v>0</v>
      </c>
      <c r="C455" s="378">
        <f>('Pivot Table for Data Exchange'!$Q$441)*100</f>
        <v>0</v>
      </c>
      <c r="D455" s="379">
        <f>SUM(E455:G455)</f>
        <v>0</v>
      </c>
      <c r="E455" s="378">
        <f>('Pivot Table for Data Exchange'!$Q$444)*100</f>
        <v>0</v>
      </c>
      <c r="F455" s="378">
        <f>('Pivot Table for Data Exchange'!$Q$447)*100</f>
        <v>0</v>
      </c>
      <c r="G455" s="386">
        <f>('Pivot Table for Data Exchange'!$Q$450)*100</f>
        <v>0</v>
      </c>
      <c r="H455" s="378">
        <f>('Pivot Table for Data Exchange'!$Q$453)*100</f>
        <v>0</v>
      </c>
      <c r="I455" s="349"/>
      <c r="J455" s="417"/>
      <c r="K455" s="417"/>
      <c r="L455" s="417"/>
      <c r="M455" s="417"/>
      <c r="N455" s="417"/>
      <c r="O455" s="417"/>
      <c r="P455" s="417"/>
      <c r="Q455" s="383">
        <f t="shared" si="83"/>
        <v>0</v>
      </c>
      <c r="R455" s="383"/>
      <c r="S455" s="384"/>
      <c r="T455" s="384"/>
      <c r="U455" s="384"/>
      <c r="V455" s="384"/>
      <c r="W455" s="384"/>
      <c r="X455" s="384"/>
      <c r="Y455" s="384"/>
      <c r="Z455" s="384"/>
      <c r="AA455" s="384"/>
      <c r="AB455" s="384"/>
      <c r="AC455" s="384"/>
      <c r="AD455" s="384"/>
      <c r="AE455" s="384"/>
      <c r="AF455" s="384"/>
      <c r="AG455" s="384"/>
      <c r="AH455" s="384"/>
      <c r="AI455" s="384"/>
      <c r="AJ455" s="384"/>
      <c r="AK455" s="384"/>
      <c r="AL455" s="384"/>
      <c r="AM455" s="384"/>
      <c r="AN455" s="384"/>
      <c r="AO455" s="384"/>
    </row>
    <row r="456" spans="1:41" ht="15.75" customHeight="1">
      <c r="A456" s="349" t="s">
        <v>898</v>
      </c>
      <c r="B456" s="378">
        <f>('Pivot Table for Data Exchange'!$Q$474)*100</f>
        <v>0</v>
      </c>
      <c r="C456" s="378">
        <f>('Pivot Table for Data Exchange'!$Q$477)*100</f>
        <v>0</v>
      </c>
      <c r="D456" s="379">
        <f>SUM(E456:G456)</f>
        <v>0</v>
      </c>
      <c r="E456" s="378">
        <f>('Pivot Table for Data Exchange'!$Q$480)*100</f>
        <v>0</v>
      </c>
      <c r="F456" s="378">
        <f>('Pivot Table for Data Exchange'!$Q$483)*100</f>
        <v>0</v>
      </c>
      <c r="G456" s="386">
        <f>('Pivot Table for Data Exchange'!$Q$486)*100</f>
        <v>0</v>
      </c>
      <c r="H456" s="378">
        <f>('Pivot Table for Data Exchange'!$Q$489)*100</f>
        <v>0</v>
      </c>
      <c r="I456" s="349"/>
      <c r="J456" s="417"/>
      <c r="K456" s="417"/>
      <c r="L456" s="417"/>
      <c r="M456" s="417"/>
      <c r="N456" s="417"/>
      <c r="O456" s="417"/>
      <c r="P456" s="417"/>
      <c r="Q456" s="383">
        <f t="shared" si="83"/>
        <v>0</v>
      </c>
      <c r="R456" s="383"/>
      <c r="S456" s="384"/>
      <c r="T456" s="384"/>
      <c r="U456" s="384"/>
      <c r="V456" s="384"/>
      <c r="W456" s="384"/>
      <c r="X456" s="384"/>
      <c r="Y456" s="384"/>
      <c r="Z456" s="384"/>
      <c r="AA456" s="384"/>
      <c r="AB456" s="384"/>
      <c r="AC456" s="384"/>
      <c r="AD456" s="384"/>
      <c r="AE456" s="384"/>
      <c r="AF456" s="384"/>
      <c r="AG456" s="384"/>
      <c r="AH456" s="384"/>
      <c r="AI456" s="384"/>
      <c r="AJ456" s="384"/>
      <c r="AK456" s="384"/>
      <c r="AL456" s="384"/>
      <c r="AM456" s="384"/>
      <c r="AN456" s="384"/>
      <c r="AO456" s="384"/>
    </row>
    <row r="457" spans="1:41" ht="15.75" customHeight="1">
      <c r="A457" s="349" t="s">
        <v>899</v>
      </c>
      <c r="B457" s="378">
        <f>('Pivot Table for Data Exchange'!$Q$510)*100</f>
        <v>0</v>
      </c>
      <c r="C457" s="378">
        <f>('Pivot Table for Data Exchange'!$Q$513)*100</f>
        <v>0</v>
      </c>
      <c r="D457" s="379">
        <f t="shared" ref="D457" si="92">SUM(E457:G457)</f>
        <v>0</v>
      </c>
      <c r="E457" s="378">
        <f>('Pivot Table for Data Exchange'!$Q$516)*100</f>
        <v>0</v>
      </c>
      <c r="F457" s="378">
        <f>('Pivot Table for Data Exchange'!$Q$519)*100</f>
        <v>0</v>
      </c>
      <c r="G457" s="386">
        <f>('Pivot Table for Data Exchange'!$Q$522)*100</f>
        <v>0</v>
      </c>
      <c r="H457" s="378">
        <f>('Pivot Table for Data Exchange'!$Q$525)*100</f>
        <v>0</v>
      </c>
      <c r="I457" s="349"/>
      <c r="J457" s="417"/>
      <c r="K457" s="417"/>
      <c r="L457" s="417"/>
      <c r="M457" s="417"/>
      <c r="N457" s="417"/>
      <c r="O457" s="417"/>
      <c r="P457" s="417"/>
      <c r="Q457" s="383">
        <f t="shared" si="83"/>
        <v>0</v>
      </c>
      <c r="R457" s="383"/>
      <c r="S457" s="384"/>
      <c r="T457" s="384"/>
      <c r="U457" s="384"/>
      <c r="V457" s="384"/>
      <c r="W457" s="384"/>
      <c r="X457" s="384"/>
      <c r="Y457" s="384"/>
      <c r="Z457" s="384"/>
      <c r="AA457" s="384"/>
      <c r="AB457" s="384"/>
      <c r="AC457" s="384"/>
      <c r="AD457" s="384"/>
      <c r="AE457" s="384"/>
      <c r="AF457" s="384"/>
      <c r="AG457" s="384"/>
      <c r="AH457" s="384"/>
      <c r="AI457" s="384"/>
      <c r="AJ457" s="384"/>
      <c r="AK457" s="384"/>
      <c r="AL457" s="384"/>
      <c r="AM457" s="384"/>
      <c r="AN457" s="384"/>
      <c r="AO457" s="384"/>
    </row>
    <row r="458" spans="1:41" ht="15.75" customHeight="1">
      <c r="A458" s="355" t="s">
        <v>900</v>
      </c>
      <c r="B458" s="391">
        <f>('Pivot Table for Data Exchange'!$Q$546)*100</f>
        <v>0</v>
      </c>
      <c r="C458" s="391">
        <f>('Pivot Table for Data Exchange'!$Q$549)*100</f>
        <v>0</v>
      </c>
      <c r="D458" s="392">
        <f>SUM(E458:G458)</f>
        <v>0</v>
      </c>
      <c r="E458" s="391">
        <f>('Pivot Table for Data Exchange'!$Q$552)*100</f>
        <v>0</v>
      </c>
      <c r="F458" s="391">
        <f>('Pivot Table for Data Exchange'!$Q$555)*100</f>
        <v>0</v>
      </c>
      <c r="G458" s="393">
        <f>('Pivot Table for Data Exchange'!$Q$558)*100</f>
        <v>0</v>
      </c>
      <c r="H458" s="391">
        <f>('Pivot Table for Data Exchange'!$Q$561)*100</f>
        <v>0</v>
      </c>
      <c r="I458" s="349"/>
      <c r="J458" s="417"/>
      <c r="K458" s="417"/>
      <c r="L458" s="417"/>
      <c r="M458" s="417"/>
      <c r="N458" s="417"/>
      <c r="O458" s="417"/>
      <c r="P458" s="417"/>
      <c r="Q458" s="383">
        <f>SUM(B458,C458,D458,H458)</f>
        <v>0</v>
      </c>
      <c r="R458" s="383"/>
      <c r="S458" s="384"/>
      <c r="T458" s="384"/>
      <c r="U458" s="384"/>
      <c r="V458" s="384"/>
      <c r="W458" s="384"/>
      <c r="X458" s="384"/>
      <c r="Y458" s="384"/>
      <c r="Z458" s="384"/>
      <c r="AA458" s="384"/>
      <c r="AB458" s="384"/>
      <c r="AC458" s="384"/>
      <c r="AD458" s="384"/>
      <c r="AE458" s="384"/>
      <c r="AF458" s="384"/>
      <c r="AG458" s="384"/>
      <c r="AH458" s="384"/>
      <c r="AI458" s="384"/>
      <c r="AJ458" s="384"/>
      <c r="AK458" s="384"/>
      <c r="AL458" s="384"/>
      <c r="AM458" s="384"/>
      <c r="AN458" s="384"/>
      <c r="AO458" s="384"/>
    </row>
    <row r="459" spans="1:41" s="396" customFormat="1" ht="12.75" customHeight="1">
      <c r="A459" s="397" t="s">
        <v>926</v>
      </c>
      <c r="B459" s="398"/>
      <c r="C459" s="398"/>
      <c r="D459" s="399"/>
      <c r="E459" s="398"/>
      <c r="F459" s="399"/>
      <c r="G459" s="399"/>
      <c r="H459" s="398"/>
      <c r="I459" s="407"/>
      <c r="J459" s="398"/>
      <c r="K459" s="398"/>
      <c r="L459" s="399"/>
      <c r="M459" s="398"/>
      <c r="N459" s="399"/>
      <c r="O459" s="399"/>
      <c r="P459" s="398"/>
      <c r="Q459" s="418"/>
      <c r="R459" s="418"/>
      <c r="S459" s="400"/>
      <c r="T459" s="400"/>
      <c r="U459" s="400"/>
      <c r="V459" s="400"/>
      <c r="W459" s="400"/>
      <c r="X459" s="400"/>
      <c r="Y459" s="400"/>
      <c r="Z459" s="400"/>
      <c r="AA459" s="400"/>
      <c r="AB459" s="400"/>
      <c r="AC459" s="400"/>
      <c r="AD459" s="400"/>
      <c r="AE459" s="400"/>
      <c r="AF459" s="400"/>
      <c r="AG459" s="400"/>
      <c r="AH459" s="400"/>
      <c r="AI459" s="400"/>
      <c r="AJ459" s="400"/>
      <c r="AK459" s="400"/>
      <c r="AL459" s="400"/>
      <c r="AM459" s="400"/>
      <c r="AN459" s="400"/>
      <c r="AO459" s="400"/>
    </row>
    <row r="460" spans="1:41" s="396" customFormat="1" ht="13.5" customHeight="1">
      <c r="A460" s="407"/>
      <c r="B460" s="398"/>
      <c r="C460" s="398"/>
      <c r="D460" s="399"/>
      <c r="E460" s="398"/>
      <c r="F460" s="399"/>
      <c r="G460" s="399"/>
      <c r="H460" s="398"/>
      <c r="I460" s="407"/>
      <c r="J460" s="398"/>
      <c r="K460" s="398"/>
      <c r="L460" s="399"/>
      <c r="M460" s="398"/>
      <c r="N460" s="399"/>
      <c r="O460" s="399"/>
      <c r="P460" s="398"/>
      <c r="Q460" s="418"/>
      <c r="R460" s="418"/>
      <c r="S460" s="400"/>
      <c r="T460" s="400"/>
      <c r="U460" s="400"/>
      <c r="V460" s="400"/>
      <c r="W460" s="400"/>
      <c r="X460" s="400"/>
      <c r="Y460" s="400"/>
      <c r="Z460" s="400"/>
      <c r="AA460" s="400"/>
      <c r="AB460" s="400"/>
      <c r="AC460" s="400"/>
      <c r="AD460" s="400"/>
      <c r="AE460" s="400"/>
      <c r="AF460" s="400"/>
      <c r="AG460" s="400"/>
      <c r="AH460" s="400"/>
      <c r="AI460" s="400"/>
      <c r="AJ460" s="400"/>
      <c r="AK460" s="400"/>
      <c r="AL460" s="400"/>
      <c r="AM460" s="400"/>
      <c r="AN460" s="400"/>
      <c r="AO460" s="400"/>
    </row>
    <row r="461" spans="1:41" s="396" customFormat="1" ht="13.5" customHeight="1">
      <c r="A461" s="407"/>
      <c r="B461" s="408"/>
      <c r="H461" s="402" t="s">
        <v>1007</v>
      </c>
      <c r="I461" s="407"/>
      <c r="P461" s="409"/>
      <c r="Q461" s="426"/>
      <c r="R461" s="419"/>
    </row>
    <row r="462" spans="1:41" s="396" customFormat="1" ht="13.5" customHeight="1">
      <c r="A462" s="407"/>
      <c r="I462" s="407"/>
      <c r="Q462" s="426"/>
      <c r="R462" s="419"/>
    </row>
    <row r="463" spans="1:41" s="396" customFormat="1" ht="13.5" customHeight="1">
      <c r="A463" s="407"/>
      <c r="I463" s="407"/>
      <c r="Q463" s="426"/>
      <c r="R463" s="419"/>
    </row>
    <row r="465" spans="8:18" s="427" customFormat="1">
      <c r="H465" s="349"/>
      <c r="I465" s="415"/>
      <c r="J465" s="349"/>
      <c r="K465" s="349"/>
      <c r="L465" s="349"/>
      <c r="M465" s="349"/>
      <c r="N465" s="349"/>
      <c r="O465" s="349"/>
      <c r="P465" s="349"/>
      <c r="Q465" s="353"/>
      <c r="R465" s="359"/>
    </row>
    <row r="466" spans="8:18" s="427" customFormat="1">
      <c r="H466" s="349"/>
      <c r="I466" s="415"/>
      <c r="J466" s="349"/>
      <c r="K466" s="349"/>
      <c r="L466" s="349"/>
      <c r="M466" s="349"/>
      <c r="N466" s="349"/>
      <c r="O466" s="349"/>
      <c r="P466" s="349"/>
      <c r="Q466" s="353"/>
      <c r="R466" s="359"/>
    </row>
    <row r="467" spans="8:18" s="427" customFormat="1">
      <c r="H467" s="349"/>
      <c r="I467" s="415"/>
      <c r="J467" s="349"/>
      <c r="K467" s="349"/>
      <c r="L467" s="349"/>
      <c r="M467" s="349"/>
      <c r="N467" s="349"/>
      <c r="O467" s="349"/>
      <c r="P467" s="349"/>
      <c r="Q467" s="353"/>
      <c r="R467" s="359"/>
    </row>
    <row r="468" spans="8:18" s="427" customFormat="1">
      <c r="H468" s="349"/>
      <c r="I468" s="415"/>
      <c r="J468" s="349"/>
      <c r="K468" s="349"/>
      <c r="L468" s="349"/>
      <c r="M468" s="349"/>
      <c r="N468" s="349"/>
      <c r="O468" s="349"/>
      <c r="P468" s="349"/>
      <c r="Q468" s="353"/>
      <c r="R468" s="359"/>
    </row>
    <row r="469" spans="8:18" s="427" customFormat="1">
      <c r="H469" s="349"/>
      <c r="I469" s="415"/>
      <c r="J469" s="349"/>
      <c r="K469" s="349"/>
      <c r="L469" s="349"/>
      <c r="M469" s="349"/>
      <c r="N469" s="349"/>
      <c r="O469" s="349"/>
      <c r="P469" s="349"/>
      <c r="Q469" s="353"/>
      <c r="R469" s="359"/>
    </row>
    <row r="470" spans="8:18" s="427" customFormat="1">
      <c r="H470" s="349"/>
      <c r="I470" s="415"/>
      <c r="J470" s="349"/>
      <c r="K470" s="349"/>
      <c r="L470" s="349"/>
      <c r="M470" s="349"/>
      <c r="N470" s="349"/>
      <c r="O470" s="349"/>
      <c r="P470" s="349"/>
      <c r="Q470" s="353"/>
      <c r="R470" s="359"/>
    </row>
    <row r="471" spans="8:18" s="427" customFormat="1">
      <c r="H471" s="349"/>
      <c r="I471" s="415"/>
      <c r="J471" s="349"/>
      <c r="K471" s="349"/>
      <c r="L471" s="349"/>
      <c r="M471" s="349"/>
      <c r="N471" s="349"/>
      <c r="O471" s="349"/>
      <c r="P471" s="349"/>
      <c r="Q471" s="353"/>
      <c r="R471" s="359"/>
    </row>
    <row r="472" spans="8:18" s="427" customFormat="1">
      <c r="H472" s="349"/>
      <c r="I472" s="415"/>
      <c r="J472" s="349"/>
      <c r="K472" s="349"/>
      <c r="L472" s="349"/>
      <c r="M472" s="349"/>
      <c r="N472" s="349"/>
      <c r="O472" s="349"/>
      <c r="P472" s="349"/>
      <c r="Q472" s="353"/>
      <c r="R472" s="359"/>
    </row>
    <row r="473" spans="8:18" s="427" customFormat="1">
      <c r="H473" s="349"/>
      <c r="I473" s="415"/>
      <c r="J473" s="349"/>
      <c r="K473" s="349"/>
      <c r="L473" s="349"/>
      <c r="M473" s="349"/>
      <c r="N473" s="349"/>
      <c r="O473" s="349"/>
      <c r="P473" s="349"/>
      <c r="Q473" s="353"/>
      <c r="R473" s="359"/>
    </row>
    <row r="474" spans="8:18" s="427" customFormat="1">
      <c r="H474" s="349"/>
      <c r="I474" s="415"/>
      <c r="J474" s="349"/>
      <c r="K474" s="349"/>
      <c r="L474" s="349"/>
      <c r="M474" s="349"/>
      <c r="N474" s="349"/>
      <c r="O474" s="349"/>
      <c r="P474" s="349"/>
      <c r="Q474" s="353"/>
      <c r="R474" s="359"/>
    </row>
    <row r="475" spans="8:18" s="427" customFormat="1">
      <c r="H475" s="349"/>
      <c r="I475" s="415"/>
      <c r="J475" s="349"/>
      <c r="K475" s="349"/>
      <c r="L475" s="349"/>
      <c r="M475" s="349"/>
      <c r="N475" s="349"/>
      <c r="O475" s="349"/>
      <c r="P475" s="349"/>
      <c r="Q475" s="353"/>
      <c r="R475" s="359"/>
    </row>
    <row r="476" spans="8:18" s="427" customFormat="1">
      <c r="H476" s="349"/>
      <c r="I476" s="415"/>
      <c r="J476" s="349"/>
      <c r="K476" s="349"/>
      <c r="L476" s="349"/>
      <c r="M476" s="349"/>
      <c r="N476" s="349"/>
      <c r="O476" s="349"/>
      <c r="P476" s="349"/>
      <c r="Q476" s="353"/>
      <c r="R476" s="359"/>
    </row>
    <row r="477" spans="8:18" s="427" customFormat="1">
      <c r="H477" s="349"/>
      <c r="I477" s="415"/>
      <c r="J477" s="349"/>
      <c r="K477" s="349"/>
      <c r="L477" s="349"/>
      <c r="M477" s="349"/>
      <c r="N477" s="349"/>
      <c r="O477" s="349"/>
      <c r="P477" s="349"/>
      <c r="Q477" s="353"/>
      <c r="R477" s="359"/>
    </row>
    <row r="478" spans="8:18" s="427" customFormat="1">
      <c r="H478" s="349"/>
      <c r="I478" s="415"/>
      <c r="J478" s="349"/>
      <c r="K478" s="349"/>
      <c r="L478" s="349"/>
      <c r="M478" s="349"/>
      <c r="N478" s="349"/>
      <c r="O478" s="349"/>
      <c r="P478" s="349"/>
      <c r="Q478" s="353"/>
      <c r="R478" s="359"/>
    </row>
    <row r="479" spans="8:18" s="427" customFormat="1">
      <c r="H479" s="349"/>
      <c r="I479" s="415"/>
      <c r="J479" s="349"/>
      <c r="K479" s="349"/>
      <c r="L479" s="349"/>
      <c r="M479" s="349"/>
      <c r="N479" s="349"/>
      <c r="O479" s="349"/>
      <c r="P479" s="349"/>
      <c r="Q479" s="353"/>
      <c r="R479" s="359"/>
    </row>
    <row r="480" spans="8:18" s="427" customFormat="1">
      <c r="H480" s="349"/>
      <c r="I480" s="415"/>
      <c r="J480" s="349"/>
      <c r="K480" s="349"/>
      <c r="L480" s="349"/>
      <c r="M480" s="349"/>
      <c r="N480" s="349"/>
      <c r="O480" s="349"/>
      <c r="P480" s="349"/>
      <c r="Q480" s="353"/>
      <c r="R480" s="359"/>
    </row>
    <row r="481" spans="8:18" s="427" customFormat="1">
      <c r="H481" s="349"/>
      <c r="I481" s="415"/>
      <c r="J481" s="349"/>
      <c r="K481" s="349"/>
      <c r="L481" s="349"/>
      <c r="M481" s="349"/>
      <c r="N481" s="349"/>
      <c r="O481" s="349"/>
      <c r="P481" s="349"/>
      <c r="Q481" s="353"/>
      <c r="R481" s="359"/>
    </row>
    <row r="482" spans="8:18" s="427" customFormat="1">
      <c r="H482" s="349"/>
      <c r="I482" s="415"/>
      <c r="J482" s="349"/>
      <c r="K482" s="349"/>
      <c r="L482" s="349"/>
      <c r="M482" s="349"/>
      <c r="N482" s="349"/>
      <c r="O482" s="349"/>
      <c r="P482" s="349"/>
      <c r="Q482" s="353"/>
      <c r="R482" s="359"/>
    </row>
    <row r="483" spans="8:18" s="427" customFormat="1">
      <c r="H483" s="349"/>
      <c r="I483" s="415"/>
      <c r="J483" s="349"/>
      <c r="K483" s="349"/>
      <c r="L483" s="349"/>
      <c r="M483" s="349"/>
      <c r="N483" s="349"/>
      <c r="O483" s="349"/>
      <c r="P483" s="349"/>
      <c r="Q483" s="353"/>
      <c r="R483" s="359"/>
    </row>
    <row r="484" spans="8:18" s="427" customFormat="1">
      <c r="H484" s="349"/>
      <c r="I484" s="415"/>
      <c r="J484" s="349"/>
      <c r="K484" s="349"/>
      <c r="L484" s="349"/>
      <c r="M484" s="349"/>
      <c r="N484" s="349"/>
      <c r="O484" s="349"/>
      <c r="P484" s="349"/>
      <c r="Q484" s="353"/>
      <c r="R484" s="359"/>
    </row>
    <row r="485" spans="8:18" s="427" customFormat="1">
      <c r="H485" s="349"/>
      <c r="I485" s="415"/>
      <c r="J485" s="349"/>
      <c r="K485" s="349"/>
      <c r="L485" s="349"/>
      <c r="M485" s="349"/>
      <c r="N485" s="349"/>
      <c r="O485" s="349"/>
      <c r="P485" s="349"/>
      <c r="Q485" s="353"/>
      <c r="R485" s="359"/>
    </row>
    <row r="486" spans="8:18" s="427" customFormat="1">
      <c r="H486" s="349"/>
      <c r="I486" s="415"/>
      <c r="J486" s="349"/>
      <c r="K486" s="349"/>
      <c r="L486" s="349"/>
      <c r="M486" s="349"/>
      <c r="N486" s="349"/>
      <c r="O486" s="349"/>
      <c r="P486" s="349"/>
      <c r="Q486" s="353"/>
      <c r="R486" s="359"/>
    </row>
    <row r="487" spans="8:18" s="427" customFormat="1">
      <c r="H487" s="349"/>
      <c r="I487" s="415"/>
      <c r="J487" s="349"/>
      <c r="K487" s="349"/>
      <c r="L487" s="349"/>
      <c r="M487" s="349"/>
      <c r="N487" s="349"/>
      <c r="O487" s="349"/>
      <c r="P487" s="349"/>
      <c r="Q487" s="353"/>
      <c r="R487" s="359"/>
    </row>
    <row r="488" spans="8:18" s="427" customFormat="1">
      <c r="H488" s="349"/>
      <c r="I488" s="415"/>
      <c r="J488" s="349"/>
      <c r="K488" s="349"/>
      <c r="L488" s="349"/>
      <c r="M488" s="349"/>
      <c r="N488" s="349"/>
      <c r="O488" s="349"/>
      <c r="P488" s="349"/>
      <c r="Q488" s="353"/>
      <c r="R488" s="359"/>
    </row>
    <row r="489" spans="8:18" s="427" customFormat="1">
      <c r="H489" s="349"/>
      <c r="I489" s="415"/>
      <c r="J489" s="349"/>
      <c r="K489" s="349"/>
      <c r="L489" s="349"/>
      <c r="M489" s="349"/>
      <c r="N489" s="349"/>
      <c r="O489" s="349"/>
      <c r="P489" s="349"/>
      <c r="Q489" s="353"/>
      <c r="R489" s="359"/>
    </row>
    <row r="490" spans="8:18" s="427" customFormat="1">
      <c r="H490" s="349"/>
      <c r="I490" s="415"/>
      <c r="J490" s="349"/>
      <c r="K490" s="349"/>
      <c r="L490" s="349"/>
      <c r="M490" s="349"/>
      <c r="N490" s="349"/>
      <c r="O490" s="349"/>
      <c r="P490" s="349"/>
      <c r="Q490" s="353"/>
      <c r="R490" s="359"/>
    </row>
    <row r="491" spans="8:18" s="427" customFormat="1">
      <c r="H491" s="349"/>
      <c r="I491" s="415"/>
      <c r="J491" s="349"/>
      <c r="K491" s="349"/>
      <c r="L491" s="349"/>
      <c r="M491" s="349"/>
      <c r="N491" s="349"/>
      <c r="O491" s="349"/>
      <c r="P491" s="349"/>
      <c r="Q491" s="353"/>
      <c r="R491" s="359"/>
    </row>
    <row r="492" spans="8:18" s="427" customFormat="1">
      <c r="H492" s="349"/>
      <c r="I492" s="415"/>
      <c r="J492" s="349"/>
      <c r="K492" s="349"/>
      <c r="L492" s="349"/>
      <c r="M492" s="349"/>
      <c r="N492" s="349"/>
      <c r="O492" s="349"/>
      <c r="P492" s="349"/>
      <c r="Q492" s="353"/>
      <c r="R492" s="359"/>
    </row>
    <row r="493" spans="8:18" s="427" customFormat="1">
      <c r="H493" s="349"/>
      <c r="I493" s="415"/>
      <c r="J493" s="349"/>
      <c r="K493" s="349"/>
      <c r="L493" s="349"/>
      <c r="M493" s="349"/>
      <c r="N493" s="349"/>
      <c r="O493" s="349"/>
      <c r="P493" s="349"/>
      <c r="Q493" s="353"/>
      <c r="R493" s="359"/>
    </row>
    <row r="494" spans="8:18" s="427" customFormat="1">
      <c r="H494" s="349"/>
      <c r="I494" s="415"/>
      <c r="J494" s="349"/>
      <c r="K494" s="349"/>
      <c r="L494" s="349"/>
      <c r="M494" s="349"/>
      <c r="N494" s="349"/>
      <c r="O494" s="349"/>
      <c r="P494" s="349"/>
      <c r="Q494" s="353"/>
      <c r="R494" s="359"/>
    </row>
    <row r="495" spans="8:18" s="427" customFormat="1">
      <c r="H495" s="349"/>
      <c r="I495" s="415"/>
      <c r="J495" s="349"/>
      <c r="K495" s="349"/>
      <c r="L495" s="349"/>
      <c r="M495" s="349"/>
      <c r="N495" s="349"/>
      <c r="O495" s="349"/>
      <c r="P495" s="349"/>
      <c r="Q495" s="353"/>
      <c r="R495" s="359"/>
    </row>
    <row r="496" spans="8:18" s="427" customFormat="1">
      <c r="H496" s="349"/>
      <c r="I496" s="415"/>
      <c r="J496" s="349"/>
      <c r="K496" s="349"/>
      <c r="L496" s="349"/>
      <c r="M496" s="349"/>
      <c r="N496" s="349"/>
      <c r="O496" s="349"/>
      <c r="P496" s="349"/>
      <c r="Q496" s="353"/>
      <c r="R496" s="359"/>
    </row>
    <row r="497" spans="8:18" s="427" customFormat="1">
      <c r="H497" s="349"/>
      <c r="I497" s="415"/>
      <c r="J497" s="349"/>
      <c r="K497" s="349"/>
      <c r="L497" s="349"/>
      <c r="M497" s="349"/>
      <c r="N497" s="349"/>
      <c r="O497" s="349"/>
      <c r="P497" s="349"/>
      <c r="Q497" s="353"/>
      <c r="R497" s="359"/>
    </row>
    <row r="498" spans="8:18" s="427" customFormat="1">
      <c r="H498" s="349"/>
      <c r="I498" s="415"/>
      <c r="J498" s="349"/>
      <c r="K498" s="349"/>
      <c r="L498" s="349"/>
      <c r="M498" s="349"/>
      <c r="N498" s="349"/>
      <c r="O498" s="349"/>
      <c r="P498" s="349"/>
      <c r="Q498" s="353"/>
      <c r="R498" s="359"/>
    </row>
    <row r="499" spans="8:18" s="427" customFormat="1">
      <c r="H499" s="349"/>
      <c r="I499" s="415"/>
      <c r="J499" s="349"/>
      <c r="K499" s="349"/>
      <c r="L499" s="349"/>
      <c r="M499" s="349"/>
      <c r="N499" s="349"/>
      <c r="O499" s="349"/>
      <c r="P499" s="349"/>
      <c r="Q499" s="353"/>
      <c r="R499" s="359"/>
    </row>
    <row r="500" spans="8:18" s="427" customFormat="1">
      <c r="H500" s="349"/>
      <c r="I500" s="415"/>
      <c r="J500" s="349"/>
      <c r="K500" s="349"/>
      <c r="L500" s="349"/>
      <c r="M500" s="349"/>
      <c r="N500" s="349"/>
      <c r="O500" s="349"/>
      <c r="P500" s="349"/>
      <c r="Q500" s="353"/>
      <c r="R500" s="359"/>
    </row>
    <row r="501" spans="8:18" s="427" customFormat="1">
      <c r="H501" s="349"/>
      <c r="I501" s="415"/>
      <c r="J501" s="349"/>
      <c r="K501" s="349"/>
      <c r="L501" s="349"/>
      <c r="M501" s="349"/>
      <c r="N501" s="349"/>
      <c r="O501" s="349"/>
      <c r="P501" s="349"/>
      <c r="Q501" s="353"/>
      <c r="R501" s="359"/>
    </row>
    <row r="502" spans="8:18" s="427" customFormat="1">
      <c r="H502" s="349"/>
      <c r="I502" s="415"/>
      <c r="J502" s="349"/>
      <c r="K502" s="349"/>
      <c r="L502" s="349"/>
      <c r="M502" s="349"/>
      <c r="N502" s="349"/>
      <c r="O502" s="349"/>
      <c r="P502" s="349"/>
      <c r="Q502" s="353"/>
      <c r="R502" s="359"/>
    </row>
    <row r="503" spans="8:18" s="427" customFormat="1">
      <c r="H503" s="349"/>
      <c r="I503" s="415"/>
      <c r="J503" s="349"/>
      <c r="K503" s="349"/>
      <c r="L503" s="349"/>
      <c r="M503" s="349"/>
      <c r="N503" s="349"/>
      <c r="O503" s="349"/>
      <c r="P503" s="349"/>
      <c r="Q503" s="353"/>
      <c r="R503" s="359"/>
    </row>
    <row r="504" spans="8:18" s="427" customFormat="1">
      <c r="H504" s="349"/>
      <c r="I504" s="415"/>
      <c r="J504" s="349"/>
      <c r="K504" s="349"/>
      <c r="L504" s="349"/>
      <c r="M504" s="349"/>
      <c r="N504" s="349"/>
      <c r="O504" s="349"/>
      <c r="P504" s="349"/>
      <c r="Q504" s="353"/>
      <c r="R504" s="359"/>
    </row>
    <row r="505" spans="8:18" s="427" customFormat="1">
      <c r="H505" s="349"/>
      <c r="I505" s="415"/>
      <c r="J505" s="349"/>
      <c r="K505" s="349"/>
      <c r="L505" s="349"/>
      <c r="M505" s="349"/>
      <c r="N505" s="349"/>
      <c r="O505" s="349"/>
      <c r="P505" s="349"/>
      <c r="Q505" s="353"/>
      <c r="R505" s="359"/>
    </row>
    <row r="506" spans="8:18" s="427" customFormat="1">
      <c r="H506" s="349"/>
      <c r="I506" s="415"/>
      <c r="J506" s="349"/>
      <c r="K506" s="349"/>
      <c r="L506" s="349"/>
      <c r="M506" s="349"/>
      <c r="N506" s="349"/>
      <c r="O506" s="349"/>
      <c r="P506" s="349"/>
      <c r="Q506" s="353"/>
      <c r="R506" s="359"/>
    </row>
    <row r="507" spans="8:18" s="427" customFormat="1">
      <c r="H507" s="349"/>
      <c r="I507" s="415"/>
      <c r="J507" s="349"/>
      <c r="K507" s="349"/>
      <c r="L507" s="349"/>
      <c r="M507" s="349"/>
      <c r="N507" s="349"/>
      <c r="O507" s="349"/>
      <c r="P507" s="349"/>
      <c r="Q507" s="353"/>
      <c r="R507" s="359"/>
    </row>
    <row r="508" spans="8:18" s="427" customFormat="1">
      <c r="H508" s="349"/>
      <c r="I508" s="415"/>
      <c r="J508" s="349"/>
      <c r="K508" s="349"/>
      <c r="L508" s="349"/>
      <c r="M508" s="349"/>
      <c r="N508" s="349"/>
      <c r="O508" s="349"/>
      <c r="P508" s="349"/>
      <c r="Q508" s="353"/>
      <c r="R508" s="359"/>
    </row>
    <row r="509" spans="8:18" s="427" customFormat="1">
      <c r="H509" s="349"/>
      <c r="I509" s="415"/>
      <c r="J509" s="349"/>
      <c r="K509" s="349"/>
      <c r="L509" s="349"/>
      <c r="M509" s="349"/>
      <c r="N509" s="349"/>
      <c r="O509" s="349"/>
      <c r="P509" s="349"/>
      <c r="Q509" s="353"/>
      <c r="R509" s="359"/>
    </row>
    <row r="510" spans="8:18" s="427" customFormat="1">
      <c r="H510" s="349"/>
      <c r="I510" s="415"/>
      <c r="J510" s="349"/>
      <c r="K510" s="349"/>
      <c r="L510" s="349"/>
      <c r="M510" s="349"/>
      <c r="N510" s="349"/>
      <c r="O510" s="349"/>
      <c r="P510" s="349"/>
      <c r="Q510" s="353"/>
      <c r="R510" s="359"/>
    </row>
    <row r="511" spans="8:18" s="427" customFormat="1">
      <c r="H511" s="349"/>
      <c r="I511" s="415"/>
      <c r="J511" s="349"/>
      <c r="K511" s="349"/>
      <c r="L511" s="349"/>
      <c r="M511" s="349"/>
      <c r="N511" s="349"/>
      <c r="O511" s="349"/>
      <c r="P511" s="349"/>
      <c r="Q511" s="353"/>
      <c r="R511" s="359"/>
    </row>
    <row r="512" spans="8:18" s="427" customFormat="1">
      <c r="H512" s="349"/>
      <c r="I512" s="415"/>
      <c r="J512" s="349"/>
      <c r="K512" s="349"/>
      <c r="L512" s="349"/>
      <c r="M512" s="349"/>
      <c r="N512" s="349"/>
      <c r="O512" s="349"/>
      <c r="P512" s="349"/>
      <c r="Q512" s="353"/>
      <c r="R512" s="359"/>
    </row>
    <row r="513" spans="8:18" s="427" customFormat="1">
      <c r="H513" s="349"/>
      <c r="I513" s="415"/>
      <c r="J513" s="349"/>
      <c r="K513" s="349"/>
      <c r="L513" s="349"/>
      <c r="M513" s="349"/>
      <c r="N513" s="349"/>
      <c r="O513" s="349"/>
      <c r="P513" s="349"/>
      <c r="Q513" s="353"/>
      <c r="R513" s="359"/>
    </row>
    <row r="514" spans="8:18" s="427" customFormat="1">
      <c r="H514" s="349"/>
      <c r="I514" s="415"/>
      <c r="J514" s="349"/>
      <c r="K514" s="349"/>
      <c r="L514" s="349"/>
      <c r="M514" s="349"/>
      <c r="N514" s="349"/>
      <c r="O514" s="349"/>
      <c r="P514" s="349"/>
      <c r="Q514" s="353"/>
      <c r="R514" s="359"/>
    </row>
    <row r="515" spans="8:18" s="427" customFormat="1">
      <c r="H515" s="349"/>
      <c r="I515" s="415"/>
      <c r="J515" s="349"/>
      <c r="K515" s="349"/>
      <c r="L515" s="349"/>
      <c r="M515" s="349"/>
      <c r="N515" s="349"/>
      <c r="O515" s="349"/>
      <c r="P515" s="349"/>
      <c r="Q515" s="353"/>
      <c r="R515" s="359"/>
    </row>
    <row r="516" spans="8:18" s="427" customFormat="1">
      <c r="H516" s="349"/>
      <c r="I516" s="415"/>
      <c r="J516" s="349"/>
      <c r="K516" s="349"/>
      <c r="L516" s="349"/>
      <c r="M516" s="349"/>
      <c r="N516" s="349"/>
      <c r="O516" s="349"/>
      <c r="P516" s="349"/>
      <c r="Q516" s="353"/>
      <c r="R516" s="359"/>
    </row>
    <row r="517" spans="8:18" s="427" customFormat="1">
      <c r="H517" s="349"/>
      <c r="I517" s="415"/>
      <c r="J517" s="349"/>
      <c r="K517" s="349"/>
      <c r="L517" s="349"/>
      <c r="M517" s="349"/>
      <c r="N517" s="349"/>
      <c r="O517" s="349"/>
      <c r="P517" s="349"/>
      <c r="Q517" s="353"/>
      <c r="R517" s="359"/>
    </row>
    <row r="518" spans="8:18" s="427" customFormat="1">
      <c r="H518" s="349"/>
      <c r="I518" s="415"/>
      <c r="J518" s="349"/>
      <c r="K518" s="349"/>
      <c r="L518" s="349"/>
      <c r="M518" s="349"/>
      <c r="N518" s="349"/>
      <c r="O518" s="349"/>
      <c r="P518" s="349"/>
      <c r="Q518" s="353"/>
      <c r="R518" s="359"/>
    </row>
    <row r="519" spans="8:18" s="427" customFormat="1">
      <c r="H519" s="349"/>
      <c r="I519" s="415"/>
      <c r="J519" s="349"/>
      <c r="K519" s="349"/>
      <c r="L519" s="349"/>
      <c r="M519" s="349"/>
      <c r="N519" s="349"/>
      <c r="O519" s="349"/>
      <c r="P519" s="349"/>
      <c r="Q519" s="353"/>
      <c r="R519" s="359"/>
    </row>
    <row r="520" spans="8:18" s="427" customFormat="1">
      <c r="H520" s="349"/>
      <c r="I520" s="415"/>
      <c r="J520" s="349"/>
      <c r="K520" s="349"/>
      <c r="L520" s="349"/>
      <c r="M520" s="349"/>
      <c r="N520" s="349"/>
      <c r="O520" s="349"/>
      <c r="P520" s="349"/>
      <c r="Q520" s="353"/>
      <c r="R520" s="359"/>
    </row>
    <row r="521" spans="8:18" s="427" customFormat="1">
      <c r="H521" s="349"/>
      <c r="I521" s="415"/>
      <c r="J521" s="349"/>
      <c r="K521" s="349"/>
      <c r="L521" s="349"/>
      <c r="M521" s="349"/>
      <c r="N521" s="349"/>
      <c r="O521" s="349"/>
      <c r="P521" s="349"/>
      <c r="Q521" s="353"/>
      <c r="R521" s="359"/>
    </row>
    <row r="522" spans="8:18" s="427" customFormat="1">
      <c r="H522" s="349"/>
      <c r="I522" s="415"/>
      <c r="J522" s="349"/>
      <c r="K522" s="349"/>
      <c r="L522" s="349"/>
      <c r="M522" s="349"/>
      <c r="N522" s="349"/>
      <c r="O522" s="349"/>
      <c r="P522" s="349"/>
      <c r="Q522" s="353"/>
      <c r="R522" s="359"/>
    </row>
    <row r="523" spans="8:18" s="427" customFormat="1">
      <c r="H523" s="349"/>
      <c r="I523" s="415"/>
      <c r="J523" s="349"/>
      <c r="K523" s="349"/>
      <c r="L523" s="349"/>
      <c r="M523" s="349"/>
      <c r="N523" s="349"/>
      <c r="O523" s="349"/>
      <c r="P523" s="349"/>
      <c r="Q523" s="353"/>
      <c r="R523" s="359"/>
    </row>
    <row r="524" spans="8:18" s="427" customFormat="1">
      <c r="H524" s="349"/>
      <c r="I524" s="415"/>
      <c r="J524" s="349"/>
      <c r="K524" s="349"/>
      <c r="L524" s="349"/>
      <c r="M524" s="349"/>
      <c r="N524" s="349"/>
      <c r="O524" s="349"/>
      <c r="P524" s="349"/>
      <c r="Q524" s="353"/>
      <c r="R524" s="359"/>
    </row>
    <row r="525" spans="8:18" s="427" customFormat="1">
      <c r="H525" s="349"/>
      <c r="I525" s="415"/>
      <c r="J525" s="349"/>
      <c r="K525" s="349"/>
      <c r="L525" s="349"/>
      <c r="M525" s="349"/>
      <c r="N525" s="349"/>
      <c r="O525" s="349"/>
      <c r="P525" s="349"/>
      <c r="Q525" s="353"/>
      <c r="R525" s="359"/>
    </row>
    <row r="526" spans="8:18" s="427" customFormat="1">
      <c r="H526" s="349"/>
      <c r="I526" s="415"/>
      <c r="J526" s="349"/>
      <c r="K526" s="349"/>
      <c r="L526" s="349"/>
      <c r="M526" s="349"/>
      <c r="N526" s="349"/>
      <c r="O526" s="349"/>
      <c r="P526" s="349"/>
      <c r="Q526" s="353"/>
      <c r="R526" s="359"/>
    </row>
    <row r="527" spans="8:18" s="427" customFormat="1">
      <c r="H527" s="349"/>
      <c r="I527" s="415"/>
      <c r="J527" s="349"/>
      <c r="K527" s="349"/>
      <c r="L527" s="349"/>
      <c r="M527" s="349"/>
      <c r="N527" s="349"/>
      <c r="O527" s="349"/>
      <c r="P527" s="349"/>
      <c r="Q527" s="353"/>
      <c r="R527" s="359"/>
    </row>
    <row r="528" spans="8:18" s="427" customFormat="1">
      <c r="H528" s="349"/>
      <c r="I528" s="415"/>
      <c r="J528" s="349"/>
      <c r="K528" s="349"/>
      <c r="L528" s="349"/>
      <c r="M528" s="349"/>
      <c r="N528" s="349"/>
      <c r="O528" s="349"/>
      <c r="P528" s="349"/>
      <c r="Q528" s="353"/>
      <c r="R528" s="359"/>
    </row>
    <row r="529" spans="8:18" s="427" customFormat="1">
      <c r="H529" s="349"/>
      <c r="I529" s="415"/>
      <c r="J529" s="349"/>
      <c r="K529" s="349"/>
      <c r="L529" s="349"/>
      <c r="M529" s="349"/>
      <c r="N529" s="349"/>
      <c r="O529" s="349"/>
      <c r="P529" s="349"/>
      <c r="Q529" s="353"/>
      <c r="R529" s="359"/>
    </row>
    <row r="530" spans="8:18" s="427" customFormat="1">
      <c r="H530" s="349"/>
      <c r="I530" s="415"/>
      <c r="J530" s="349"/>
      <c r="K530" s="349"/>
      <c r="L530" s="349"/>
      <c r="M530" s="349"/>
      <c r="N530" s="349"/>
      <c r="O530" s="349"/>
      <c r="P530" s="349"/>
      <c r="Q530" s="353"/>
      <c r="R530" s="359"/>
    </row>
    <row r="531" spans="8:18" s="427" customFormat="1">
      <c r="H531" s="349"/>
      <c r="I531" s="415"/>
      <c r="J531" s="349"/>
      <c r="K531" s="349"/>
      <c r="L531" s="349"/>
      <c r="M531" s="349"/>
      <c r="N531" s="349"/>
      <c r="O531" s="349"/>
      <c r="P531" s="349"/>
      <c r="Q531" s="353"/>
      <c r="R531" s="359"/>
    </row>
    <row r="532" spans="8:18" s="427" customFormat="1">
      <c r="H532" s="349"/>
      <c r="I532" s="415"/>
      <c r="J532" s="349"/>
      <c r="K532" s="349"/>
      <c r="L532" s="349"/>
      <c r="M532" s="349"/>
      <c r="N532" s="349"/>
      <c r="O532" s="349"/>
      <c r="P532" s="349"/>
      <c r="Q532" s="353"/>
      <c r="R532" s="359"/>
    </row>
  </sheetData>
  <mergeCells count="41">
    <mergeCell ref="A30:H30"/>
    <mergeCell ref="I30:P30"/>
    <mergeCell ref="Q2:X2"/>
    <mergeCell ref="D7:G7"/>
    <mergeCell ref="L7:O7"/>
    <mergeCell ref="A28:H28"/>
    <mergeCell ref="I28:P28"/>
    <mergeCell ref="D131:G131"/>
    <mergeCell ref="L131:O131"/>
    <mergeCell ref="D39:G39"/>
    <mergeCell ref="L39:O39"/>
    <mergeCell ref="A61:H61"/>
    <mergeCell ref="I61:P61"/>
    <mergeCell ref="D70:G70"/>
    <mergeCell ref="L70:O70"/>
    <mergeCell ref="B99:H99"/>
    <mergeCell ref="D100:G100"/>
    <mergeCell ref="L100:O100"/>
    <mergeCell ref="A122:H122"/>
    <mergeCell ref="I122:P122"/>
    <mergeCell ref="A276:H276"/>
    <mergeCell ref="A153:H153"/>
    <mergeCell ref="I153:P153"/>
    <mergeCell ref="D162:G162"/>
    <mergeCell ref="L162:O162"/>
    <mergeCell ref="D192:G192"/>
    <mergeCell ref="L192:O192"/>
    <mergeCell ref="A214:H214"/>
    <mergeCell ref="I214:P214"/>
    <mergeCell ref="D223:G223"/>
    <mergeCell ref="A245:H245"/>
    <mergeCell ref="D254:G254"/>
    <mergeCell ref="D378:G378"/>
    <mergeCell ref="D408:G408"/>
    <mergeCell ref="D438:G438"/>
    <mergeCell ref="D285:G285"/>
    <mergeCell ref="A307:H307"/>
    <mergeCell ref="D316:G316"/>
    <mergeCell ref="A338:H338"/>
    <mergeCell ref="D347:G347"/>
    <mergeCell ref="A369:H369"/>
  </mergeCells>
  <conditionalFormatting sqref="Q1:R7 Q9:R1048576">
    <cfRule type="cellIs" dxfId="1835"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2067-10E3-4BAA-A5BD-3515843DC131}">
  <sheetPr>
    <tabColor rgb="FF006600"/>
  </sheetPr>
  <dimension ref="A2:W617"/>
  <sheetViews>
    <sheetView workbookViewId="0">
      <pane xSplit="2" ySplit="5" topLeftCell="C6" activePane="bottomRight" state="frozen"/>
      <selection pane="topRight" activeCell="C1" sqref="C1"/>
      <selection pane="bottomLeft" activeCell="A6" sqref="A6"/>
      <selection pane="bottomRight" activeCell="C31" sqref="C31"/>
    </sheetView>
  </sheetViews>
  <sheetFormatPr defaultRowHeight="15"/>
  <cols>
    <col min="1" max="1" width="4.6640625" style="225" customWidth="1"/>
    <col min="2" max="2" width="16.88671875" style="225" customWidth="1"/>
    <col min="3" max="9" width="10" style="225" customWidth="1"/>
    <col min="10" max="10" width="12.44140625" style="225" customWidth="1"/>
    <col min="11" max="14" width="8.6640625" style="225" customWidth="1"/>
    <col min="15" max="15" width="11.109375" style="225" customWidth="1"/>
    <col min="16" max="17" width="8.77734375" style="225" customWidth="1"/>
    <col min="18" max="18" width="11.33203125" style="225" customWidth="1"/>
    <col min="19" max="21" width="8.88671875" style="225" customWidth="1"/>
    <col min="22" max="22" width="7.109375" style="225" customWidth="1"/>
    <col min="23" max="16384" width="8.88671875" style="225"/>
  </cols>
  <sheetData>
    <row r="2" spans="1:22">
      <c r="D2" s="225" t="s">
        <v>800</v>
      </c>
    </row>
    <row r="3" spans="1:22">
      <c r="A3" s="219"/>
      <c r="B3" s="220"/>
      <c r="C3" s="219" t="s">
        <v>783</v>
      </c>
      <c r="D3" s="221" t="s">
        <v>31</v>
      </c>
      <c r="E3" s="221"/>
      <c r="F3" s="222"/>
      <c r="G3" s="222"/>
      <c r="H3" s="222"/>
      <c r="I3" s="222"/>
      <c r="J3" s="222"/>
      <c r="K3" s="222"/>
      <c r="L3" s="222"/>
      <c r="M3" s="222"/>
      <c r="N3" s="222"/>
      <c r="O3" s="222"/>
      <c r="P3" s="222"/>
      <c r="Q3" s="222"/>
      <c r="R3" s="222"/>
      <c r="S3" s="223"/>
      <c r="T3" s="223"/>
      <c r="U3" s="222"/>
      <c r="V3" s="224"/>
    </row>
    <row r="4" spans="1:22">
      <c r="A4" s="226"/>
      <c r="B4" s="227"/>
      <c r="C4" s="226" t="s">
        <v>801</v>
      </c>
      <c r="D4" s="228"/>
      <c r="E4" s="227"/>
      <c r="F4" s="227"/>
      <c r="G4" s="227"/>
      <c r="H4" s="227"/>
      <c r="I4" s="227"/>
      <c r="J4" s="219" t="s">
        <v>802</v>
      </c>
      <c r="K4" s="229" t="s">
        <v>787</v>
      </c>
      <c r="L4" s="228"/>
      <c r="M4" s="227"/>
      <c r="N4" s="227"/>
      <c r="O4" s="219" t="s">
        <v>788</v>
      </c>
      <c r="P4" s="219" t="s">
        <v>803</v>
      </c>
      <c r="Q4" s="220"/>
      <c r="R4" s="219" t="s">
        <v>804</v>
      </c>
      <c r="S4" s="230" t="s">
        <v>878</v>
      </c>
      <c r="T4" s="230" t="s">
        <v>879</v>
      </c>
      <c r="U4" s="231" t="s">
        <v>805</v>
      </c>
      <c r="V4" s="224"/>
    </row>
    <row r="5" spans="1:22">
      <c r="A5" s="219" t="s">
        <v>24</v>
      </c>
      <c r="B5" s="219" t="s">
        <v>791</v>
      </c>
      <c r="C5" s="219">
        <v>1</v>
      </c>
      <c r="D5" s="232">
        <v>2</v>
      </c>
      <c r="E5" s="232">
        <v>3</v>
      </c>
      <c r="F5" s="232">
        <v>4</v>
      </c>
      <c r="G5" s="232">
        <v>5</v>
      </c>
      <c r="H5" s="232">
        <v>6</v>
      </c>
      <c r="I5" s="232">
        <v>15</v>
      </c>
      <c r="J5" s="233"/>
      <c r="K5" s="234">
        <v>7</v>
      </c>
      <c r="L5" s="232">
        <v>8</v>
      </c>
      <c r="M5" s="232">
        <v>9</v>
      </c>
      <c r="N5" s="232">
        <v>10</v>
      </c>
      <c r="O5" s="233"/>
      <c r="P5" s="235">
        <v>12</v>
      </c>
      <c r="Q5" s="225">
        <v>13</v>
      </c>
      <c r="R5" s="233"/>
      <c r="S5" s="236" t="s">
        <v>878</v>
      </c>
      <c r="T5" s="236"/>
      <c r="U5" s="237"/>
      <c r="V5" s="224"/>
    </row>
    <row r="6" spans="1:22">
      <c r="A6" s="238" t="s">
        <v>60</v>
      </c>
      <c r="B6" s="219" t="s">
        <v>806</v>
      </c>
      <c r="C6" s="239">
        <v>0.92332096709016731</v>
      </c>
      <c r="D6" s="240">
        <v>0.82140806965892366</v>
      </c>
      <c r="E6" s="240">
        <v>0.82067571023892594</v>
      </c>
      <c r="F6" s="240">
        <v>0.85787921955787649</v>
      </c>
      <c r="G6" s="240">
        <v>0.91855855562519839</v>
      </c>
      <c r="H6" s="240">
        <v>0.20534250122270492</v>
      </c>
      <c r="I6" s="240">
        <v>1</v>
      </c>
      <c r="J6" s="241">
        <v>0.86121116928097297</v>
      </c>
      <c r="K6" s="241">
        <v>0</v>
      </c>
      <c r="L6" s="240">
        <v>0.61736578252724794</v>
      </c>
      <c r="M6" s="240">
        <v>0.63325941365130911</v>
      </c>
      <c r="N6" s="240">
        <v>0.63639336179267925</v>
      </c>
      <c r="O6" s="241">
        <v>0.63053858675575258</v>
      </c>
      <c r="P6" s="241">
        <v>0.85709098454196497</v>
      </c>
      <c r="Q6" s="240">
        <v>0.78891469636511624</v>
      </c>
      <c r="R6" s="241">
        <v>0.81847316398475189</v>
      </c>
      <c r="S6" s="241">
        <v>0</v>
      </c>
      <c r="T6" s="241">
        <v>0</v>
      </c>
      <c r="U6" s="241">
        <v>0.78478533772280357</v>
      </c>
      <c r="V6" s="224"/>
    </row>
    <row r="7" spans="1:22">
      <c r="A7" s="242"/>
      <c r="B7" s="243" t="s">
        <v>807</v>
      </c>
      <c r="C7" s="244">
        <v>0.91702232107385562</v>
      </c>
      <c r="D7" s="245">
        <v>0.79886983965406833</v>
      </c>
      <c r="E7" s="245">
        <v>0.80614025098067743</v>
      </c>
      <c r="F7" s="245">
        <v>0.82761023150449398</v>
      </c>
      <c r="G7" s="245">
        <v>0.89566012026664277</v>
      </c>
      <c r="H7" s="245">
        <v>0.19334477355815863</v>
      </c>
      <c r="I7" s="245">
        <v>0.99258939492049791</v>
      </c>
      <c r="J7" s="246">
        <v>0.84904003238444969</v>
      </c>
      <c r="K7" s="246">
        <v>0</v>
      </c>
      <c r="L7" s="245">
        <v>0.59337492039126671</v>
      </c>
      <c r="M7" s="245">
        <v>0.6207830936333083</v>
      </c>
      <c r="N7" s="245">
        <v>0.60323708002407794</v>
      </c>
      <c r="O7" s="246">
        <v>0.61092804248309318</v>
      </c>
      <c r="P7" s="246">
        <v>0.8703321821660166</v>
      </c>
      <c r="Q7" s="245">
        <v>0.79065487678980206</v>
      </c>
      <c r="R7" s="246">
        <v>0.82846934804909977</v>
      </c>
      <c r="S7" s="246">
        <v>0</v>
      </c>
      <c r="T7" s="246">
        <v>0</v>
      </c>
      <c r="U7" s="246">
        <v>0.77560534699810157</v>
      </c>
      <c r="V7" s="247"/>
    </row>
    <row r="8" spans="1:22">
      <c r="A8" s="242"/>
      <c r="B8" s="248" t="s">
        <v>808</v>
      </c>
      <c r="C8" s="249">
        <v>-0.62986460163116931</v>
      </c>
      <c r="D8" s="250">
        <v>-2.2538230004855331</v>
      </c>
      <c r="E8" s="250">
        <v>-1.4535459258248506</v>
      </c>
      <c r="F8" s="250">
        <v>-3.0268988053382517</v>
      </c>
      <c r="G8" s="250">
        <v>-2.2898435358555624</v>
      </c>
      <c r="H8" s="250">
        <v>-1.1997727664546294</v>
      </c>
      <c r="I8" s="250">
        <v>-0.74106050795020861</v>
      </c>
      <c r="J8" s="251">
        <v>-1.2171136896523271</v>
      </c>
      <c r="K8" s="251">
        <v>0</v>
      </c>
      <c r="L8" s="250">
        <v>-2.3990862135981228</v>
      </c>
      <c r="M8" s="250">
        <v>-1.2476320018000808</v>
      </c>
      <c r="N8" s="250">
        <v>-3.3156281768601303</v>
      </c>
      <c r="O8" s="251">
        <v>-1.9610544272659403</v>
      </c>
      <c r="P8" s="251">
        <v>1.3241197624051626</v>
      </c>
      <c r="Q8" s="252">
        <v>0.17401804246858221</v>
      </c>
      <c r="R8" s="251">
        <v>0.99961840643478794</v>
      </c>
      <c r="S8" s="251">
        <v>0</v>
      </c>
      <c r="T8" s="251">
        <v>0</v>
      </c>
      <c r="U8" s="251">
        <v>-0.91799907247019918</v>
      </c>
      <c r="V8" s="247"/>
    </row>
    <row r="9" spans="1:22">
      <c r="A9" s="242"/>
      <c r="B9" s="219" t="s">
        <v>809</v>
      </c>
      <c r="C9" s="239">
        <v>3.0547374366718345E-4</v>
      </c>
      <c r="D9" s="240">
        <v>4.2286422307224498E-4</v>
      </c>
      <c r="E9" s="240">
        <v>3.7834368470072723E-3</v>
      </c>
      <c r="F9" s="240">
        <v>7.4996726333374341E-4</v>
      </c>
      <c r="G9" s="240">
        <v>3.1257885697075273E-3</v>
      </c>
      <c r="H9" s="240">
        <v>4.1384965045024313E-2</v>
      </c>
      <c r="I9" s="240">
        <v>0</v>
      </c>
      <c r="J9" s="241">
        <v>2.2980281956874139E-3</v>
      </c>
      <c r="K9" s="241">
        <v>0</v>
      </c>
      <c r="L9" s="240">
        <v>6.2923088385558587E-2</v>
      </c>
      <c r="M9" s="240">
        <v>0.16495399206676201</v>
      </c>
      <c r="N9" s="240">
        <v>9.2039600877136071E-2</v>
      </c>
      <c r="O9" s="241">
        <v>0.12701829432967707</v>
      </c>
      <c r="P9" s="241">
        <v>5.6593007573399731E-2</v>
      </c>
      <c r="Q9" s="240">
        <v>8.280229488019375E-2</v>
      </c>
      <c r="R9" s="241">
        <v>7.143901314531817E-2</v>
      </c>
      <c r="S9" s="241">
        <v>0</v>
      </c>
      <c r="T9" s="241">
        <v>0</v>
      </c>
      <c r="U9" s="241">
        <v>4.438721004117073E-2</v>
      </c>
      <c r="V9" s="247"/>
    </row>
    <row r="10" spans="1:22">
      <c r="A10" s="242"/>
      <c r="B10" s="243" t="s">
        <v>810</v>
      </c>
      <c r="C10" s="244">
        <v>1.7307932761452955E-4</v>
      </c>
      <c r="D10" s="245">
        <v>4.7559350105652679E-4</v>
      </c>
      <c r="E10" s="245">
        <v>3.5303428614629918E-3</v>
      </c>
      <c r="F10" s="245">
        <v>1.1082228505773352E-3</v>
      </c>
      <c r="G10" s="245">
        <v>2.741491991742887E-3</v>
      </c>
      <c r="H10" s="245">
        <v>3.5544281131090052E-2</v>
      </c>
      <c r="I10" s="245">
        <v>0</v>
      </c>
      <c r="J10" s="246">
        <v>1.9984497279239145E-3</v>
      </c>
      <c r="K10" s="246">
        <v>0</v>
      </c>
      <c r="L10" s="245">
        <v>6.5251944630424955E-2</v>
      </c>
      <c r="M10" s="245">
        <v>0.1622747284587395</v>
      </c>
      <c r="N10" s="245">
        <v>5.19195142334508E-2</v>
      </c>
      <c r="O10" s="246">
        <v>0.11726684907454465</v>
      </c>
      <c r="P10" s="246">
        <v>4.7230987105269698E-2</v>
      </c>
      <c r="Q10" s="245">
        <v>6.6901566497598638E-2</v>
      </c>
      <c r="R10" s="246">
        <v>5.7566002806372113E-2</v>
      </c>
      <c r="S10" s="246">
        <v>0</v>
      </c>
      <c r="T10" s="246">
        <v>0</v>
      </c>
      <c r="U10" s="246">
        <v>3.8275744070195065E-2</v>
      </c>
      <c r="V10" s="247"/>
    </row>
    <row r="11" spans="1:22">
      <c r="A11" s="242"/>
      <c r="B11" s="248" t="s">
        <v>811</v>
      </c>
      <c r="C11" s="249">
        <v>-1.3239441605265389E-2</v>
      </c>
      <c r="D11" s="250">
        <v>5.2729277984281814E-3</v>
      </c>
      <c r="E11" s="250">
        <v>-2.5309398554428056E-2</v>
      </c>
      <c r="F11" s="250">
        <v>3.5825558724359177E-2</v>
      </c>
      <c r="G11" s="250">
        <v>-3.8429657796464026E-2</v>
      </c>
      <c r="H11" s="250">
        <v>-0.58406839139342615</v>
      </c>
      <c r="I11" s="250">
        <v>0</v>
      </c>
      <c r="J11" s="253">
        <v>-2.9957846776349939E-2</v>
      </c>
      <c r="K11" s="253">
        <v>0</v>
      </c>
      <c r="L11" s="250">
        <v>0.23288562448663674</v>
      </c>
      <c r="M11" s="250">
        <v>-0.26792636080225085</v>
      </c>
      <c r="N11" s="250">
        <v>-4.0120086643685271</v>
      </c>
      <c r="O11" s="253">
        <v>-0.97514452551324127</v>
      </c>
      <c r="P11" s="253">
        <v>-0.93620204681300334</v>
      </c>
      <c r="Q11" s="250">
        <v>-1.5900728382595111</v>
      </c>
      <c r="R11" s="253">
        <v>-1.3873010338946057</v>
      </c>
      <c r="S11" s="253">
        <v>0</v>
      </c>
      <c r="T11" s="253">
        <v>0</v>
      </c>
      <c r="U11" s="253">
        <v>-0.61114659709756647</v>
      </c>
      <c r="V11" s="247"/>
    </row>
    <row r="12" spans="1:22">
      <c r="A12" s="242"/>
      <c r="B12" s="219" t="s">
        <v>812</v>
      </c>
      <c r="C12" s="239">
        <v>7.5462901590704887E-2</v>
      </c>
      <c r="D12" s="240">
        <v>0.17803265830410986</v>
      </c>
      <c r="E12" s="240">
        <v>0.17397728972729334</v>
      </c>
      <c r="F12" s="240">
        <v>0.14137081317878983</v>
      </c>
      <c r="G12" s="240">
        <v>7.8315655805094059E-2</v>
      </c>
      <c r="H12" s="240">
        <v>0.75327253373227077</v>
      </c>
      <c r="I12" s="240">
        <v>0</v>
      </c>
      <c r="J12" s="241">
        <v>0.13560340261508341</v>
      </c>
      <c r="K12" s="241">
        <v>0</v>
      </c>
      <c r="L12" s="240">
        <v>0.31541638283378748</v>
      </c>
      <c r="M12" s="240">
        <v>0.19411793218778023</v>
      </c>
      <c r="N12" s="240">
        <v>0.27147620963033126</v>
      </c>
      <c r="O12" s="241">
        <v>0.23716567784827941</v>
      </c>
      <c r="P12" s="241">
        <v>8.6316007884635337E-2</v>
      </c>
      <c r="Q12" s="240">
        <v>0.12828300875469001</v>
      </c>
      <c r="R12" s="241">
        <v>0.11008782286992995</v>
      </c>
      <c r="S12" s="241">
        <v>0</v>
      </c>
      <c r="T12" s="241">
        <v>0</v>
      </c>
      <c r="U12" s="241">
        <v>0.1685139004730459</v>
      </c>
      <c r="V12" s="247"/>
    </row>
    <row r="13" spans="1:22">
      <c r="A13" s="242"/>
      <c r="B13" s="243" t="s">
        <v>813</v>
      </c>
      <c r="C13" s="244">
        <v>8.1697754218731614E-2</v>
      </c>
      <c r="D13" s="245">
        <v>0.2005294106603866</v>
      </c>
      <c r="E13" s="245">
        <v>0.18941643595188629</v>
      </c>
      <c r="F13" s="245">
        <v>0.17128154564492865</v>
      </c>
      <c r="G13" s="245">
        <v>0.10159838774161438</v>
      </c>
      <c r="H13" s="245">
        <v>0.77111094531075131</v>
      </c>
      <c r="I13" s="245">
        <v>7.4106050795021226E-3</v>
      </c>
      <c r="J13" s="246">
        <v>0.14817998725529555</v>
      </c>
      <c r="K13" s="246">
        <v>0</v>
      </c>
      <c r="L13" s="245">
        <v>0.33703479922269214</v>
      </c>
      <c r="M13" s="245">
        <v>0.21138492825277075</v>
      </c>
      <c r="N13" s="245">
        <v>0.34334437879505114</v>
      </c>
      <c r="O13" s="246">
        <v>0.26737385992521806</v>
      </c>
      <c r="P13" s="246">
        <v>8.2436830728713759E-2</v>
      </c>
      <c r="Q13" s="254">
        <v>0.14244355671259931</v>
      </c>
      <c r="R13" s="246">
        <v>0.11396464914452817</v>
      </c>
      <c r="S13" s="246">
        <v>0</v>
      </c>
      <c r="T13" s="246">
        <v>0</v>
      </c>
      <c r="U13" s="246">
        <v>0.18422929946856029</v>
      </c>
      <c r="V13" s="247"/>
    </row>
    <row r="14" spans="1:22" s="255" customFormat="1">
      <c r="A14" s="242"/>
      <c r="B14" s="248" t="s">
        <v>814</v>
      </c>
      <c r="C14" s="249">
        <v>0.62348526280267269</v>
      </c>
      <c r="D14" s="250">
        <v>2.2496752356276737</v>
      </c>
      <c r="E14" s="250">
        <v>1.5439146224592943</v>
      </c>
      <c r="F14" s="250">
        <v>2.9910732466138819</v>
      </c>
      <c r="G14" s="250">
        <v>2.328273193652032</v>
      </c>
      <c r="H14" s="250">
        <v>1.783841157848054</v>
      </c>
      <c r="I14" s="250">
        <v>0</v>
      </c>
      <c r="J14" s="253">
        <v>1.2576584640212136</v>
      </c>
      <c r="K14" s="253">
        <v>0</v>
      </c>
      <c r="L14" s="250">
        <v>2.1618416388904658</v>
      </c>
      <c r="M14" s="250">
        <v>1.7266996064990519</v>
      </c>
      <c r="N14" s="250">
        <v>7.1868169164719884</v>
      </c>
      <c r="O14" s="253">
        <v>3.020818207693865</v>
      </c>
      <c r="P14" s="253">
        <v>-0.38791771559215787</v>
      </c>
      <c r="Q14" s="252">
        <v>1.4160547957909304</v>
      </c>
      <c r="R14" s="253">
        <v>0.3876826274598219</v>
      </c>
      <c r="S14" s="253">
        <v>0</v>
      </c>
      <c r="T14" s="253">
        <v>0</v>
      </c>
      <c r="U14" s="253">
        <v>1.5715398995514385</v>
      </c>
      <c r="V14" s="247"/>
    </row>
    <row r="15" spans="1:22">
      <c r="A15" s="242"/>
      <c r="B15" s="219" t="s">
        <v>815</v>
      </c>
      <c r="C15" s="239">
        <v>9.1065757546066018E-4</v>
      </c>
      <c r="D15" s="240">
        <v>1.3640781389427257E-4</v>
      </c>
      <c r="E15" s="240">
        <v>1.1900453143775427E-3</v>
      </c>
      <c r="F15" s="240">
        <v>0</v>
      </c>
      <c r="G15" s="240">
        <v>0</v>
      </c>
      <c r="H15" s="240">
        <v>0</v>
      </c>
      <c r="I15" s="240">
        <v>0</v>
      </c>
      <c r="J15" s="241">
        <v>7.7668947482775156E-4</v>
      </c>
      <c r="K15" s="241">
        <v>0</v>
      </c>
      <c r="L15" s="240">
        <v>4.2947462534059944E-3</v>
      </c>
      <c r="M15" s="240">
        <v>5.281419904187166E-3</v>
      </c>
      <c r="N15" s="240">
        <v>0</v>
      </c>
      <c r="O15" s="241">
        <v>3.9076930279881945E-3</v>
      </c>
      <c r="P15" s="241">
        <v>0</v>
      </c>
      <c r="Q15" s="240">
        <v>0</v>
      </c>
      <c r="R15" s="241">
        <v>0</v>
      </c>
      <c r="S15" s="241">
        <v>0</v>
      </c>
      <c r="T15" s="241">
        <v>0</v>
      </c>
      <c r="U15" s="241">
        <v>1.7914330743073659E-3</v>
      </c>
      <c r="V15" s="247"/>
    </row>
    <row r="16" spans="1:22">
      <c r="A16" s="242"/>
      <c r="B16" s="243" t="s">
        <v>816</v>
      </c>
      <c r="C16" s="256">
        <v>1.1068453797982549E-3</v>
      </c>
      <c r="D16" s="245">
        <v>1.2515618448855968E-4</v>
      </c>
      <c r="E16" s="245">
        <v>9.1297020597335158E-4</v>
      </c>
      <c r="F16" s="245">
        <v>0</v>
      </c>
      <c r="G16" s="245">
        <v>0</v>
      </c>
      <c r="H16" s="245">
        <v>0</v>
      </c>
      <c r="I16" s="245">
        <v>0</v>
      </c>
      <c r="J16" s="246">
        <v>7.8153063233084633E-4</v>
      </c>
      <c r="K16" s="246">
        <v>0</v>
      </c>
      <c r="L16" s="245">
        <v>4.3383357556161578E-3</v>
      </c>
      <c r="M16" s="245">
        <v>3.8003296802275421E-3</v>
      </c>
      <c r="N16" s="245">
        <v>0</v>
      </c>
      <c r="O16" s="246">
        <v>3.1241896020152739E-3</v>
      </c>
      <c r="P16" s="246">
        <v>0</v>
      </c>
      <c r="Q16" s="245">
        <v>0</v>
      </c>
      <c r="R16" s="246">
        <v>0</v>
      </c>
      <c r="S16" s="246">
        <v>0</v>
      </c>
      <c r="T16" s="246">
        <v>0</v>
      </c>
      <c r="U16" s="246">
        <v>1.4883097943094502E-3</v>
      </c>
      <c r="V16" s="247"/>
    </row>
    <row r="17" spans="1:22">
      <c r="A17" s="242"/>
      <c r="B17" s="248" t="s">
        <v>817</v>
      </c>
      <c r="C17" s="249">
        <v>1.9618780433759468E-2</v>
      </c>
      <c r="D17" s="250">
        <v>-1.1251629405712896E-3</v>
      </c>
      <c r="E17" s="250">
        <v>-2.770751084041911E-2</v>
      </c>
      <c r="F17" s="250">
        <v>0</v>
      </c>
      <c r="G17" s="250">
        <v>0</v>
      </c>
      <c r="H17" s="250">
        <v>0</v>
      </c>
      <c r="I17" s="250">
        <v>0</v>
      </c>
      <c r="J17" s="253">
        <v>4.8411575030947712E-4</v>
      </c>
      <c r="K17" s="253">
        <v>0</v>
      </c>
      <c r="L17" s="250">
        <v>4.358950221016334E-3</v>
      </c>
      <c r="M17" s="250">
        <v>-0.14810902239596238</v>
      </c>
      <c r="N17" s="250">
        <v>0</v>
      </c>
      <c r="O17" s="253">
        <v>-7.8350342597292066E-2</v>
      </c>
      <c r="P17" s="253">
        <v>0</v>
      </c>
      <c r="Q17" s="250">
        <v>0</v>
      </c>
      <c r="R17" s="253">
        <v>0</v>
      </c>
      <c r="S17" s="253">
        <v>0</v>
      </c>
      <c r="T17" s="253">
        <v>0</v>
      </c>
      <c r="U17" s="253">
        <v>-3.0312327999791569E-2</v>
      </c>
      <c r="V17" s="247"/>
    </row>
    <row r="18" spans="1:22">
      <c r="A18" s="242"/>
      <c r="B18" s="219" t="s">
        <v>818</v>
      </c>
      <c r="C18" s="239">
        <v>0</v>
      </c>
      <c r="D18" s="240">
        <v>0</v>
      </c>
      <c r="E18" s="240">
        <v>3.7351787239587106E-4</v>
      </c>
      <c r="F18" s="240">
        <v>0</v>
      </c>
      <c r="G18" s="240">
        <v>0</v>
      </c>
      <c r="H18" s="240">
        <v>0</v>
      </c>
      <c r="I18" s="240">
        <v>0</v>
      </c>
      <c r="J18" s="241">
        <v>1.1071043342848614E-4</v>
      </c>
      <c r="K18" s="241">
        <v>0</v>
      </c>
      <c r="L18" s="240">
        <v>0</v>
      </c>
      <c r="M18" s="240">
        <v>2.3872421899614649E-3</v>
      </c>
      <c r="N18" s="240">
        <v>9.0827699853378147E-5</v>
      </c>
      <c r="O18" s="241">
        <v>1.3697480383027E-3</v>
      </c>
      <c r="P18" s="241">
        <v>0</v>
      </c>
      <c r="Q18" s="240">
        <v>0</v>
      </c>
      <c r="R18" s="241">
        <v>0</v>
      </c>
      <c r="S18" s="241">
        <v>0</v>
      </c>
      <c r="T18" s="241">
        <v>0</v>
      </c>
      <c r="U18" s="241">
        <v>5.2211868867248885E-4</v>
      </c>
      <c r="V18" s="247"/>
    </row>
    <row r="19" spans="1:22">
      <c r="A19" s="242"/>
      <c r="B19" s="243" t="s">
        <v>819</v>
      </c>
      <c r="C19" s="244">
        <v>0</v>
      </c>
      <c r="D19" s="245">
        <v>0</v>
      </c>
      <c r="E19" s="245">
        <v>0</v>
      </c>
      <c r="F19" s="245">
        <v>0</v>
      </c>
      <c r="G19" s="245">
        <v>0</v>
      </c>
      <c r="H19" s="245">
        <v>0</v>
      </c>
      <c r="I19" s="245">
        <v>0</v>
      </c>
      <c r="J19" s="246">
        <v>0</v>
      </c>
      <c r="K19" s="246">
        <v>0</v>
      </c>
      <c r="L19" s="245">
        <v>0</v>
      </c>
      <c r="M19" s="245">
        <v>1.7569199749538523E-3</v>
      </c>
      <c r="N19" s="254">
        <v>1.4990269474200958E-3</v>
      </c>
      <c r="O19" s="246">
        <v>1.3070589151288391E-3</v>
      </c>
      <c r="P19" s="246">
        <v>0</v>
      </c>
      <c r="Q19" s="245">
        <v>0</v>
      </c>
      <c r="R19" s="246">
        <v>0</v>
      </c>
      <c r="S19" s="246">
        <v>0</v>
      </c>
      <c r="T19" s="246">
        <v>0</v>
      </c>
      <c r="U19" s="246">
        <v>4.0129966883365977E-4</v>
      </c>
      <c r="V19" s="247"/>
    </row>
    <row r="20" spans="1:22">
      <c r="A20" s="242"/>
      <c r="B20" s="248" t="s">
        <v>820</v>
      </c>
      <c r="C20" s="249">
        <v>0</v>
      </c>
      <c r="D20" s="250">
        <v>0</v>
      </c>
      <c r="E20" s="250">
        <v>-3.7351787239587105E-2</v>
      </c>
      <c r="F20" s="250">
        <v>0</v>
      </c>
      <c r="G20" s="250">
        <v>0</v>
      </c>
      <c r="H20" s="250">
        <v>0</v>
      </c>
      <c r="I20" s="250">
        <v>0</v>
      </c>
      <c r="J20" s="253">
        <v>-1.1071043342848613E-2</v>
      </c>
      <c r="K20" s="253">
        <v>0</v>
      </c>
      <c r="L20" s="250">
        <v>0</v>
      </c>
      <c r="M20" s="250">
        <v>-6.3032221500761265E-2</v>
      </c>
      <c r="N20" s="250">
        <v>0.14081992475667177</v>
      </c>
      <c r="O20" s="253">
        <v>-6.2689123173860972E-3</v>
      </c>
      <c r="P20" s="253">
        <v>0</v>
      </c>
      <c r="Q20" s="250">
        <v>0</v>
      </c>
      <c r="R20" s="253">
        <v>0</v>
      </c>
      <c r="S20" s="253">
        <v>0</v>
      </c>
      <c r="T20" s="253">
        <v>0</v>
      </c>
      <c r="U20" s="253">
        <v>-1.2081901983882908E-2</v>
      </c>
      <c r="V20" s="247"/>
    </row>
    <row r="21" spans="1:22">
      <c r="A21" s="242"/>
      <c r="B21" s="219" t="s">
        <v>821</v>
      </c>
      <c r="C21" s="239">
        <v>0</v>
      </c>
      <c r="D21" s="240">
        <v>0</v>
      </c>
      <c r="E21" s="240">
        <v>0</v>
      </c>
      <c r="F21" s="240">
        <v>0</v>
      </c>
      <c r="G21" s="240">
        <v>0</v>
      </c>
      <c r="H21" s="240">
        <v>0</v>
      </c>
      <c r="I21" s="240">
        <v>0</v>
      </c>
      <c r="J21" s="241">
        <v>0</v>
      </c>
      <c r="K21" s="241">
        <v>0</v>
      </c>
      <c r="L21" s="240">
        <v>0</v>
      </c>
      <c r="M21" s="240">
        <v>0</v>
      </c>
      <c r="N21" s="240">
        <v>0</v>
      </c>
      <c r="O21" s="241">
        <v>0</v>
      </c>
      <c r="P21" s="241">
        <v>0</v>
      </c>
      <c r="Q21" s="240">
        <v>0</v>
      </c>
      <c r="R21" s="241">
        <v>0</v>
      </c>
      <c r="S21" s="241">
        <v>0</v>
      </c>
      <c r="T21" s="241">
        <v>0</v>
      </c>
      <c r="U21" s="241">
        <v>0</v>
      </c>
      <c r="V21" s="247"/>
    </row>
    <row r="22" spans="1:22">
      <c r="A22" s="242"/>
      <c r="B22" s="243" t="s">
        <v>822</v>
      </c>
      <c r="C22" s="244">
        <v>0</v>
      </c>
      <c r="D22" s="245">
        <v>0</v>
      </c>
      <c r="E22" s="245">
        <v>0</v>
      </c>
      <c r="F22" s="245">
        <v>0</v>
      </c>
      <c r="G22" s="245">
        <v>0</v>
      </c>
      <c r="H22" s="245">
        <v>0</v>
      </c>
      <c r="I22" s="245">
        <v>0</v>
      </c>
      <c r="J22" s="246">
        <v>0</v>
      </c>
      <c r="K22" s="246">
        <v>0</v>
      </c>
      <c r="L22" s="245">
        <v>0</v>
      </c>
      <c r="M22" s="245">
        <v>0</v>
      </c>
      <c r="N22" s="245">
        <v>0</v>
      </c>
      <c r="O22" s="246">
        <v>0</v>
      </c>
      <c r="P22" s="246">
        <v>0</v>
      </c>
      <c r="Q22" s="245">
        <v>0</v>
      </c>
      <c r="R22" s="246">
        <v>0</v>
      </c>
      <c r="S22" s="246">
        <v>0</v>
      </c>
      <c r="T22" s="246">
        <v>0</v>
      </c>
      <c r="U22" s="246">
        <v>0</v>
      </c>
      <c r="V22" s="247"/>
    </row>
    <row r="23" spans="1:22" ht="15.75" thickBot="1">
      <c r="A23" s="242"/>
      <c r="B23" s="257" t="s">
        <v>823</v>
      </c>
      <c r="C23" s="258">
        <v>0</v>
      </c>
      <c r="D23" s="259">
        <v>0</v>
      </c>
      <c r="E23" s="259">
        <v>0</v>
      </c>
      <c r="F23" s="259">
        <v>0</v>
      </c>
      <c r="G23" s="259">
        <v>0</v>
      </c>
      <c r="H23" s="259">
        <v>0</v>
      </c>
      <c r="I23" s="259">
        <v>0</v>
      </c>
      <c r="J23" s="260">
        <v>0</v>
      </c>
      <c r="K23" s="260">
        <v>0</v>
      </c>
      <c r="L23" s="259">
        <v>0</v>
      </c>
      <c r="M23" s="259">
        <v>0</v>
      </c>
      <c r="N23" s="259">
        <v>0</v>
      </c>
      <c r="O23" s="260">
        <v>0</v>
      </c>
      <c r="P23" s="260">
        <v>0</v>
      </c>
      <c r="Q23" s="259">
        <v>0</v>
      </c>
      <c r="R23" s="260">
        <v>0</v>
      </c>
      <c r="S23" s="260">
        <v>0</v>
      </c>
      <c r="T23" s="260">
        <v>0</v>
      </c>
      <c r="U23" s="260">
        <v>0</v>
      </c>
      <c r="V23" s="247"/>
    </row>
    <row r="24" spans="1:22" ht="15.75" thickTop="1">
      <c r="A24" s="242"/>
      <c r="B24" s="243" t="s">
        <v>824</v>
      </c>
      <c r="C24" s="244">
        <v>0.77945815364957671</v>
      </c>
      <c r="D24" s="245">
        <v>0.6624746004722939</v>
      </c>
      <c r="E24" s="245">
        <v>0.62063162249320714</v>
      </c>
      <c r="F24" s="245">
        <v>0.68261662109536825</v>
      </c>
      <c r="G24" s="245">
        <v>0.19961942317391904</v>
      </c>
      <c r="H24" s="245">
        <v>0</v>
      </c>
      <c r="I24" s="245">
        <v>0</v>
      </c>
      <c r="J24" s="246">
        <v>0.66041946855996458</v>
      </c>
      <c r="K24" s="246">
        <v>0</v>
      </c>
      <c r="L24" s="245">
        <v>0</v>
      </c>
      <c r="M24" s="245">
        <v>0</v>
      </c>
      <c r="N24" s="245">
        <v>0</v>
      </c>
      <c r="O24" s="246">
        <v>0</v>
      </c>
      <c r="P24" s="246">
        <v>0</v>
      </c>
      <c r="Q24" s="245">
        <v>0</v>
      </c>
      <c r="R24" s="246">
        <v>0</v>
      </c>
      <c r="S24" s="246">
        <v>0</v>
      </c>
      <c r="T24" s="246">
        <v>0</v>
      </c>
      <c r="U24" s="246">
        <v>0.66041946855996458</v>
      </c>
      <c r="V24" s="247"/>
    </row>
    <row r="25" spans="1:22">
      <c r="A25" s="242"/>
      <c r="B25" s="243" t="s">
        <v>825</v>
      </c>
      <c r="C25" s="244">
        <v>0.75904534838458548</v>
      </c>
      <c r="D25" s="245">
        <v>0.63550577220029902</v>
      </c>
      <c r="E25" s="245">
        <v>0.54952545547584797</v>
      </c>
      <c r="F25" s="245">
        <v>0.64682755447739348</v>
      </c>
      <c r="G25" s="245">
        <v>0.14104626596631326</v>
      </c>
      <c r="H25" s="245">
        <v>1.4563106796116505E-2</v>
      </c>
      <c r="I25" s="245">
        <v>0</v>
      </c>
      <c r="J25" s="246">
        <v>0.6151329934599693</v>
      </c>
      <c r="K25" s="246">
        <v>0</v>
      </c>
      <c r="L25" s="245">
        <v>0</v>
      </c>
      <c r="M25" s="245">
        <v>0</v>
      </c>
      <c r="N25" s="245">
        <v>0</v>
      </c>
      <c r="O25" s="246">
        <v>0</v>
      </c>
      <c r="P25" s="246">
        <v>0</v>
      </c>
      <c r="Q25" s="245">
        <v>0</v>
      </c>
      <c r="R25" s="246">
        <v>0</v>
      </c>
      <c r="S25" s="246">
        <v>0</v>
      </c>
      <c r="T25" s="246">
        <v>0</v>
      </c>
      <c r="U25" s="246">
        <v>0.6151329934599693</v>
      </c>
      <c r="V25" s="247"/>
    </row>
    <row r="26" spans="1:22">
      <c r="A26" s="242"/>
      <c r="B26" s="248" t="s">
        <v>826</v>
      </c>
      <c r="C26" s="249">
        <v>-2.0412805264991229</v>
      </c>
      <c r="D26" s="250">
        <v>-2.6968828271994871</v>
      </c>
      <c r="E26" s="250">
        <v>-7.1106167017359168</v>
      </c>
      <c r="F26" s="250">
        <v>-3.5789066617974763</v>
      </c>
      <c r="G26" s="250">
        <v>-5.8573157207605782</v>
      </c>
      <c r="H26" s="250">
        <v>0</v>
      </c>
      <c r="I26" s="250">
        <v>0</v>
      </c>
      <c r="J26" s="253">
        <v>-4.5286475099995283</v>
      </c>
      <c r="K26" s="253">
        <v>0</v>
      </c>
      <c r="L26" s="250">
        <v>0</v>
      </c>
      <c r="M26" s="250">
        <v>0</v>
      </c>
      <c r="N26" s="250">
        <v>0</v>
      </c>
      <c r="O26" s="253">
        <v>0</v>
      </c>
      <c r="P26" s="253">
        <v>0</v>
      </c>
      <c r="Q26" s="250">
        <v>0</v>
      </c>
      <c r="R26" s="253">
        <v>0</v>
      </c>
      <c r="S26" s="253">
        <v>0</v>
      </c>
      <c r="T26" s="253">
        <v>0</v>
      </c>
      <c r="U26" s="253">
        <v>-4.5286475099995283</v>
      </c>
      <c r="V26" s="247"/>
    </row>
    <row r="27" spans="1:22">
      <c r="A27" s="242"/>
      <c r="B27" s="219" t="s">
        <v>827</v>
      </c>
      <c r="C27" s="239">
        <v>2.6333652771122824E-2</v>
      </c>
      <c r="D27" s="240">
        <v>2.4163875006864739E-3</v>
      </c>
      <c r="E27" s="240">
        <v>1.9744079126747586E-4</v>
      </c>
      <c r="F27" s="240">
        <v>0</v>
      </c>
      <c r="G27" s="240">
        <v>2.7511577788986199E-4</v>
      </c>
      <c r="H27" s="240">
        <v>0</v>
      </c>
      <c r="I27" s="240">
        <v>0</v>
      </c>
      <c r="J27" s="241">
        <v>1.2253861586098737E-2</v>
      </c>
      <c r="K27" s="241">
        <v>0</v>
      </c>
      <c r="L27" s="240">
        <v>0</v>
      </c>
      <c r="M27" s="240">
        <v>0</v>
      </c>
      <c r="N27" s="240">
        <v>0</v>
      </c>
      <c r="O27" s="241">
        <v>0</v>
      </c>
      <c r="P27" s="241">
        <v>0</v>
      </c>
      <c r="Q27" s="240">
        <v>0</v>
      </c>
      <c r="R27" s="241">
        <v>0</v>
      </c>
      <c r="S27" s="241">
        <v>0</v>
      </c>
      <c r="T27" s="241">
        <v>0</v>
      </c>
      <c r="U27" s="241">
        <v>1.2253861586098737E-2</v>
      </c>
      <c r="V27" s="247"/>
    </row>
    <row r="28" spans="1:22">
      <c r="A28" s="242"/>
      <c r="B28" s="243" t="s">
        <v>828</v>
      </c>
      <c r="C28" s="244">
        <v>2.1404242896068508E-2</v>
      </c>
      <c r="D28" s="245">
        <v>6.6178092600308828E-4</v>
      </c>
      <c r="E28" s="245">
        <v>3.1958135807594644E-3</v>
      </c>
      <c r="F28" s="254">
        <v>0</v>
      </c>
      <c r="G28" s="254">
        <v>6.9195433489039207E-3</v>
      </c>
      <c r="H28" s="245">
        <v>0</v>
      </c>
      <c r="I28" s="245">
        <v>0</v>
      </c>
      <c r="J28" s="246">
        <v>1.0998461798476347E-2</v>
      </c>
      <c r="K28" s="246">
        <v>0</v>
      </c>
      <c r="L28" s="245">
        <v>0</v>
      </c>
      <c r="M28" s="245">
        <v>0</v>
      </c>
      <c r="N28" s="245">
        <v>0</v>
      </c>
      <c r="O28" s="246">
        <v>0</v>
      </c>
      <c r="P28" s="246">
        <v>0</v>
      </c>
      <c r="Q28" s="245">
        <v>0</v>
      </c>
      <c r="R28" s="246">
        <v>0</v>
      </c>
      <c r="S28" s="246">
        <v>0</v>
      </c>
      <c r="T28" s="246">
        <v>0</v>
      </c>
      <c r="U28" s="246">
        <v>1.0998461798476347E-2</v>
      </c>
      <c r="V28" s="247"/>
    </row>
    <row r="29" spans="1:22">
      <c r="A29" s="242"/>
      <c r="B29" s="248" t="s">
        <v>829</v>
      </c>
      <c r="C29" s="249">
        <v>-0.49294098750543164</v>
      </c>
      <c r="D29" s="250">
        <v>-0.17546065746833855</v>
      </c>
      <c r="E29" s="250">
        <v>0.29983727894919887</v>
      </c>
      <c r="F29" s="252">
        <v>0</v>
      </c>
      <c r="G29" s="252">
        <v>0.66444275710140588</v>
      </c>
      <c r="H29" s="250">
        <v>0</v>
      </c>
      <c r="I29" s="250">
        <v>0</v>
      </c>
      <c r="J29" s="253">
        <v>-0.12553997876223899</v>
      </c>
      <c r="K29" s="253">
        <v>0</v>
      </c>
      <c r="L29" s="250">
        <v>0</v>
      </c>
      <c r="M29" s="250">
        <v>0</v>
      </c>
      <c r="N29" s="250">
        <v>0</v>
      </c>
      <c r="O29" s="253">
        <v>0</v>
      </c>
      <c r="P29" s="253">
        <v>0</v>
      </c>
      <c r="Q29" s="250">
        <v>0</v>
      </c>
      <c r="R29" s="253">
        <v>0</v>
      </c>
      <c r="S29" s="253">
        <v>0</v>
      </c>
      <c r="T29" s="253">
        <v>0</v>
      </c>
      <c r="U29" s="253">
        <v>-0.12553997876223899</v>
      </c>
      <c r="V29" s="247"/>
    </row>
    <row r="30" spans="1:22">
      <c r="A30" s="242"/>
      <c r="B30" s="219" t="s">
        <v>830</v>
      </c>
      <c r="C30" s="239">
        <v>0.19318998562529946</v>
      </c>
      <c r="D30" s="240">
        <v>0.3332555329781976</v>
      </c>
      <c r="E30" s="240">
        <v>0.37451697520707777</v>
      </c>
      <c r="F30" s="240">
        <v>0.3173833789046317</v>
      </c>
      <c r="G30" s="240">
        <v>0.80010546104819114</v>
      </c>
      <c r="H30" s="240">
        <v>1</v>
      </c>
      <c r="I30" s="240">
        <v>0</v>
      </c>
      <c r="J30" s="241">
        <v>0.32546345735388083</v>
      </c>
      <c r="K30" s="241">
        <v>0</v>
      </c>
      <c r="L30" s="240">
        <v>0</v>
      </c>
      <c r="M30" s="240">
        <v>0</v>
      </c>
      <c r="N30" s="240">
        <v>0</v>
      </c>
      <c r="O30" s="241">
        <v>0</v>
      </c>
      <c r="P30" s="241">
        <v>0</v>
      </c>
      <c r="Q30" s="240">
        <v>0</v>
      </c>
      <c r="R30" s="241">
        <v>0</v>
      </c>
      <c r="S30" s="241">
        <v>0</v>
      </c>
      <c r="T30" s="241">
        <v>0</v>
      </c>
      <c r="U30" s="241">
        <v>0.32546345735388083</v>
      </c>
      <c r="V30" s="247"/>
    </row>
    <row r="31" spans="1:22">
      <c r="A31" s="242"/>
      <c r="B31" s="243" t="s">
        <v>831</v>
      </c>
      <c r="C31" s="244">
        <v>0.21857240171272868</v>
      </c>
      <c r="D31" s="245">
        <v>0.36225152577269049</v>
      </c>
      <c r="E31" s="245">
        <v>0.4472787309433926</v>
      </c>
      <c r="F31" s="245">
        <v>0.35317244552260657</v>
      </c>
      <c r="G31" s="245">
        <v>0.85203419068478281</v>
      </c>
      <c r="H31" s="245">
        <v>0.9854368932038835</v>
      </c>
      <c r="I31" s="245">
        <v>0</v>
      </c>
      <c r="J31" s="246">
        <v>0.37316255516880636</v>
      </c>
      <c r="K31" s="246">
        <v>0</v>
      </c>
      <c r="L31" s="245">
        <v>0</v>
      </c>
      <c r="M31" s="245">
        <v>0</v>
      </c>
      <c r="N31" s="245">
        <v>0</v>
      </c>
      <c r="O31" s="246">
        <v>0</v>
      </c>
      <c r="P31" s="246">
        <v>0</v>
      </c>
      <c r="Q31" s="245">
        <v>0</v>
      </c>
      <c r="R31" s="246">
        <v>0</v>
      </c>
      <c r="S31" s="246">
        <v>0</v>
      </c>
      <c r="T31" s="246">
        <v>0</v>
      </c>
      <c r="U31" s="246">
        <v>0.37316255516880636</v>
      </c>
      <c r="V31" s="247"/>
    </row>
    <row r="32" spans="1:22">
      <c r="A32" s="242"/>
      <c r="B32" s="248" t="s">
        <v>832</v>
      </c>
      <c r="C32" s="249">
        <v>2.538241608742922</v>
      </c>
      <c r="D32" s="250">
        <v>2.8995992794492889</v>
      </c>
      <c r="E32" s="250">
        <v>7.2761755736314822</v>
      </c>
      <c r="F32" s="250">
        <v>3.5789066617974874</v>
      </c>
      <c r="G32" s="250">
        <v>5.192872963659168</v>
      </c>
      <c r="H32" s="250">
        <v>-1.4563106796116498</v>
      </c>
      <c r="I32" s="250">
        <v>0</v>
      </c>
      <c r="J32" s="253">
        <v>4.7699097814925544</v>
      </c>
      <c r="K32" s="253">
        <v>0</v>
      </c>
      <c r="L32" s="250">
        <v>0</v>
      </c>
      <c r="M32" s="250">
        <v>0</v>
      </c>
      <c r="N32" s="250">
        <v>0</v>
      </c>
      <c r="O32" s="253">
        <v>0</v>
      </c>
      <c r="P32" s="253">
        <v>0</v>
      </c>
      <c r="Q32" s="250">
        <v>0</v>
      </c>
      <c r="R32" s="253">
        <v>0</v>
      </c>
      <c r="S32" s="253">
        <v>0</v>
      </c>
      <c r="T32" s="253">
        <v>0</v>
      </c>
      <c r="U32" s="253">
        <v>4.7699097814925544</v>
      </c>
      <c r="V32" s="247"/>
    </row>
    <row r="33" spans="1:22">
      <c r="A33" s="242"/>
      <c r="B33" s="219" t="s">
        <v>833</v>
      </c>
      <c r="C33" s="239">
        <v>1.0182079540009582E-3</v>
      </c>
      <c r="D33" s="240">
        <v>1.853479048822011E-3</v>
      </c>
      <c r="E33" s="240">
        <v>0</v>
      </c>
      <c r="F33" s="240">
        <v>0</v>
      </c>
      <c r="G33" s="240">
        <v>0</v>
      </c>
      <c r="H33" s="240">
        <v>0</v>
      </c>
      <c r="I33" s="240">
        <v>0</v>
      </c>
      <c r="J33" s="241">
        <v>7.5734896585004049E-4</v>
      </c>
      <c r="K33" s="241">
        <v>0</v>
      </c>
      <c r="L33" s="240">
        <v>0</v>
      </c>
      <c r="M33" s="240">
        <v>0</v>
      </c>
      <c r="N33" s="240">
        <v>0</v>
      </c>
      <c r="O33" s="241">
        <v>0</v>
      </c>
      <c r="P33" s="241">
        <v>0</v>
      </c>
      <c r="Q33" s="240">
        <v>0</v>
      </c>
      <c r="R33" s="241">
        <v>0</v>
      </c>
      <c r="S33" s="241">
        <v>0</v>
      </c>
      <c r="T33" s="241">
        <v>0</v>
      </c>
      <c r="U33" s="241">
        <v>7.5734896585004049E-4</v>
      </c>
      <c r="V33" s="247"/>
    </row>
    <row r="34" spans="1:22">
      <c r="A34" s="242"/>
      <c r="B34" s="243" t="s">
        <v>834</v>
      </c>
      <c r="C34" s="244">
        <v>9.7800700661736088E-4</v>
      </c>
      <c r="D34" s="245">
        <v>1.5809211010073777E-3</v>
      </c>
      <c r="E34" s="245">
        <v>0</v>
      </c>
      <c r="F34" s="245">
        <v>0</v>
      </c>
      <c r="G34" s="245">
        <v>0</v>
      </c>
      <c r="H34" s="245">
        <v>0</v>
      </c>
      <c r="I34" s="245">
        <v>0</v>
      </c>
      <c r="J34" s="246">
        <v>7.059895727479468E-4</v>
      </c>
      <c r="K34" s="246">
        <v>0</v>
      </c>
      <c r="L34" s="245">
        <v>0</v>
      </c>
      <c r="M34" s="245">
        <v>0</v>
      </c>
      <c r="N34" s="245">
        <v>0</v>
      </c>
      <c r="O34" s="246">
        <v>0</v>
      </c>
      <c r="P34" s="246">
        <v>0</v>
      </c>
      <c r="Q34" s="245">
        <v>0</v>
      </c>
      <c r="R34" s="246">
        <v>0</v>
      </c>
      <c r="S34" s="246">
        <v>0</v>
      </c>
      <c r="T34" s="246">
        <v>0</v>
      </c>
      <c r="U34" s="246">
        <v>7.059895727479468E-4</v>
      </c>
      <c r="V34" s="247"/>
    </row>
    <row r="35" spans="1:22">
      <c r="A35" s="242"/>
      <c r="B35" s="248" t="s">
        <v>835</v>
      </c>
      <c r="C35" s="249">
        <v>-4.0200947383597354E-3</v>
      </c>
      <c r="D35" s="250">
        <v>-2.7255794781463331E-2</v>
      </c>
      <c r="E35" s="250">
        <v>0</v>
      </c>
      <c r="F35" s="250">
        <v>0</v>
      </c>
      <c r="G35" s="250">
        <v>0</v>
      </c>
      <c r="H35" s="250">
        <v>0</v>
      </c>
      <c r="I35" s="250">
        <v>0</v>
      </c>
      <c r="J35" s="253">
        <v>-5.1359393102093694E-3</v>
      </c>
      <c r="K35" s="253">
        <v>0</v>
      </c>
      <c r="L35" s="250">
        <v>0</v>
      </c>
      <c r="M35" s="250">
        <v>0</v>
      </c>
      <c r="N35" s="250">
        <v>0</v>
      </c>
      <c r="O35" s="253">
        <v>0</v>
      </c>
      <c r="P35" s="253">
        <v>0</v>
      </c>
      <c r="Q35" s="250">
        <v>0</v>
      </c>
      <c r="R35" s="253">
        <v>0</v>
      </c>
      <c r="S35" s="253">
        <v>0</v>
      </c>
      <c r="T35" s="253">
        <v>0</v>
      </c>
      <c r="U35" s="253">
        <v>-5.1359393102093694E-3</v>
      </c>
      <c r="V35" s="247"/>
    </row>
    <row r="36" spans="1:22">
      <c r="A36" s="242"/>
      <c r="B36" s="219" t="s">
        <v>836</v>
      </c>
      <c r="C36" s="239">
        <v>0</v>
      </c>
      <c r="D36" s="240">
        <v>0</v>
      </c>
      <c r="E36" s="240">
        <v>4.653961508447645E-3</v>
      </c>
      <c r="F36" s="240">
        <v>0</v>
      </c>
      <c r="G36" s="240">
        <v>0</v>
      </c>
      <c r="H36" s="240">
        <v>0</v>
      </c>
      <c r="I36" s="240">
        <v>0</v>
      </c>
      <c r="J36" s="241">
        <v>1.1058635342058112E-3</v>
      </c>
      <c r="K36" s="241">
        <v>0</v>
      </c>
      <c r="L36" s="240">
        <v>0</v>
      </c>
      <c r="M36" s="240">
        <v>0</v>
      </c>
      <c r="N36" s="240">
        <v>0</v>
      </c>
      <c r="O36" s="241">
        <v>0</v>
      </c>
      <c r="P36" s="241">
        <v>0</v>
      </c>
      <c r="Q36" s="240">
        <v>0</v>
      </c>
      <c r="R36" s="241">
        <v>0</v>
      </c>
      <c r="S36" s="241">
        <v>0</v>
      </c>
      <c r="T36" s="241">
        <v>0</v>
      </c>
      <c r="U36" s="241">
        <v>1.1058635342058112E-3</v>
      </c>
      <c r="V36" s="247"/>
    </row>
    <row r="37" spans="1:22">
      <c r="A37" s="242"/>
      <c r="B37" s="243" t="s">
        <v>837</v>
      </c>
      <c r="C37" s="244">
        <v>0</v>
      </c>
      <c r="D37" s="245">
        <v>0</v>
      </c>
      <c r="E37" s="245">
        <v>0</v>
      </c>
      <c r="F37" s="245">
        <v>0</v>
      </c>
      <c r="G37" s="245">
        <v>0</v>
      </c>
      <c r="H37" s="245">
        <v>0</v>
      </c>
      <c r="I37" s="245">
        <v>0</v>
      </c>
      <c r="J37" s="246">
        <v>0</v>
      </c>
      <c r="K37" s="246">
        <v>0</v>
      </c>
      <c r="L37" s="245">
        <v>0</v>
      </c>
      <c r="M37" s="245">
        <v>0</v>
      </c>
      <c r="N37" s="245">
        <v>0</v>
      </c>
      <c r="O37" s="246">
        <v>0</v>
      </c>
      <c r="P37" s="246">
        <v>0</v>
      </c>
      <c r="Q37" s="245">
        <v>0</v>
      </c>
      <c r="R37" s="246">
        <v>0</v>
      </c>
      <c r="S37" s="246">
        <v>0</v>
      </c>
      <c r="T37" s="246">
        <v>0</v>
      </c>
      <c r="U37" s="246">
        <v>0</v>
      </c>
      <c r="V37" s="247"/>
    </row>
    <row r="38" spans="1:22">
      <c r="A38" s="242"/>
      <c r="B38" s="248" t="s">
        <v>838</v>
      </c>
      <c r="C38" s="249">
        <v>0</v>
      </c>
      <c r="D38" s="250">
        <v>0</v>
      </c>
      <c r="E38" s="250">
        <v>-0.46539615084476449</v>
      </c>
      <c r="F38" s="250">
        <v>0</v>
      </c>
      <c r="G38" s="250">
        <v>0</v>
      </c>
      <c r="H38" s="250">
        <v>0</v>
      </c>
      <c r="I38" s="250">
        <v>0</v>
      </c>
      <c r="J38" s="253">
        <v>-0.11058635342058112</v>
      </c>
      <c r="K38" s="253">
        <v>0</v>
      </c>
      <c r="L38" s="250">
        <v>0</v>
      </c>
      <c r="M38" s="250">
        <v>0</v>
      </c>
      <c r="N38" s="250">
        <v>0</v>
      </c>
      <c r="O38" s="253">
        <v>0</v>
      </c>
      <c r="P38" s="253">
        <v>0</v>
      </c>
      <c r="Q38" s="250">
        <v>0</v>
      </c>
      <c r="R38" s="253">
        <v>0</v>
      </c>
      <c r="S38" s="253">
        <v>0</v>
      </c>
      <c r="T38" s="253">
        <v>0</v>
      </c>
      <c r="U38" s="253">
        <v>-0.11058635342058112</v>
      </c>
      <c r="V38" s="247"/>
    </row>
    <row r="39" spans="1:22">
      <c r="A39" s="242"/>
      <c r="B39" s="219" t="s">
        <v>839</v>
      </c>
      <c r="C39" s="239">
        <v>0</v>
      </c>
      <c r="D39" s="240">
        <v>0</v>
      </c>
      <c r="E39" s="240">
        <v>0</v>
      </c>
      <c r="F39" s="240">
        <v>0</v>
      </c>
      <c r="G39" s="240">
        <v>0</v>
      </c>
      <c r="H39" s="240">
        <v>0</v>
      </c>
      <c r="I39" s="240">
        <v>0</v>
      </c>
      <c r="J39" s="241">
        <v>0</v>
      </c>
      <c r="K39" s="241">
        <v>0</v>
      </c>
      <c r="L39" s="240">
        <v>0</v>
      </c>
      <c r="M39" s="240">
        <v>0</v>
      </c>
      <c r="N39" s="240">
        <v>0</v>
      </c>
      <c r="O39" s="241">
        <v>0</v>
      </c>
      <c r="P39" s="241">
        <v>0</v>
      </c>
      <c r="Q39" s="240">
        <v>0</v>
      </c>
      <c r="R39" s="241">
        <v>0</v>
      </c>
      <c r="S39" s="241">
        <v>0</v>
      </c>
      <c r="T39" s="241">
        <v>0</v>
      </c>
      <c r="U39" s="241">
        <v>0</v>
      </c>
      <c r="V39" s="247"/>
    </row>
    <row r="40" spans="1:22">
      <c r="A40" s="242"/>
      <c r="B40" s="243" t="s">
        <v>840</v>
      </c>
      <c r="C40" s="244">
        <v>0</v>
      </c>
      <c r="D40" s="245">
        <v>0</v>
      </c>
      <c r="E40" s="245">
        <v>0</v>
      </c>
      <c r="F40" s="245">
        <v>0</v>
      </c>
      <c r="G40" s="245">
        <v>0</v>
      </c>
      <c r="H40" s="245">
        <v>0</v>
      </c>
      <c r="I40" s="245">
        <v>0</v>
      </c>
      <c r="J40" s="246">
        <v>0</v>
      </c>
      <c r="K40" s="246">
        <v>0</v>
      </c>
      <c r="L40" s="245">
        <v>0</v>
      </c>
      <c r="M40" s="245">
        <v>0</v>
      </c>
      <c r="N40" s="245">
        <v>0</v>
      </c>
      <c r="O40" s="246">
        <v>0</v>
      </c>
      <c r="P40" s="246">
        <v>0</v>
      </c>
      <c r="Q40" s="245">
        <v>0</v>
      </c>
      <c r="R40" s="246">
        <v>0</v>
      </c>
      <c r="S40" s="246">
        <v>0</v>
      </c>
      <c r="T40" s="246">
        <v>0</v>
      </c>
      <c r="U40" s="246">
        <v>0</v>
      </c>
      <c r="V40" s="247"/>
    </row>
    <row r="41" spans="1:22" ht="15.75" thickBot="1">
      <c r="A41" s="261"/>
      <c r="B41" s="262" t="s">
        <v>841</v>
      </c>
      <c r="C41" s="263">
        <v>0</v>
      </c>
      <c r="D41" s="264">
        <v>0</v>
      </c>
      <c r="E41" s="264">
        <v>0</v>
      </c>
      <c r="F41" s="264">
        <v>0</v>
      </c>
      <c r="G41" s="264">
        <v>0</v>
      </c>
      <c r="H41" s="264">
        <v>0</v>
      </c>
      <c r="I41" s="264">
        <v>0</v>
      </c>
      <c r="J41" s="265">
        <v>0</v>
      </c>
      <c r="K41" s="265">
        <v>0</v>
      </c>
      <c r="L41" s="264">
        <v>0</v>
      </c>
      <c r="M41" s="264">
        <v>0</v>
      </c>
      <c r="N41" s="264">
        <v>0</v>
      </c>
      <c r="O41" s="265">
        <v>0</v>
      </c>
      <c r="P41" s="265">
        <v>0</v>
      </c>
      <c r="Q41" s="264">
        <v>0</v>
      </c>
      <c r="R41" s="265">
        <v>0</v>
      </c>
      <c r="S41" s="265">
        <v>0</v>
      </c>
      <c r="T41" s="265">
        <v>0</v>
      </c>
      <c r="U41" s="265">
        <v>0</v>
      </c>
      <c r="V41" s="247"/>
    </row>
    <row r="42" spans="1:22">
      <c r="A42" s="266" t="s">
        <v>105</v>
      </c>
      <c r="B42" s="243" t="s">
        <v>806</v>
      </c>
      <c r="C42" s="244">
        <v>0.89781629854148537</v>
      </c>
      <c r="D42" s="245">
        <v>0.56568146487222082</v>
      </c>
      <c r="E42" s="245">
        <v>0.74938177393511707</v>
      </c>
      <c r="F42" s="245">
        <v>0.75436145491817663</v>
      </c>
      <c r="G42" s="245">
        <v>0.69163863740757758</v>
      </c>
      <c r="H42" s="245">
        <v>0.78998853220897247</v>
      </c>
      <c r="I42" s="245">
        <v>0.84251673360107093</v>
      </c>
      <c r="J42" s="246">
        <v>0.7807329753834521</v>
      </c>
      <c r="K42" s="246">
        <v>0</v>
      </c>
      <c r="L42" s="245">
        <v>0.61722520889548016</v>
      </c>
      <c r="M42" s="245">
        <v>0.65708248172653894</v>
      </c>
      <c r="N42" s="245">
        <v>0.62161556450565159</v>
      </c>
      <c r="O42" s="246">
        <v>0.62341959734515506</v>
      </c>
      <c r="P42" s="246">
        <v>0</v>
      </c>
      <c r="Q42" s="245">
        <v>0</v>
      </c>
      <c r="R42" s="246">
        <v>0</v>
      </c>
      <c r="S42" s="246">
        <v>0</v>
      </c>
      <c r="T42" s="246">
        <v>0</v>
      </c>
      <c r="U42" s="246">
        <v>0.72968461850213306</v>
      </c>
      <c r="V42" s="247"/>
    </row>
    <row r="43" spans="1:22">
      <c r="A43" s="242"/>
      <c r="B43" s="243" t="s">
        <v>807</v>
      </c>
      <c r="C43" s="244">
        <v>0.89366472606011671</v>
      </c>
      <c r="D43" s="245">
        <v>0.54149362477231333</v>
      </c>
      <c r="E43" s="245">
        <v>0.73883148397692344</v>
      </c>
      <c r="F43" s="245">
        <v>0.79209699900918606</v>
      </c>
      <c r="G43" s="245">
        <v>0.66740986973677097</v>
      </c>
      <c r="H43" s="245">
        <v>0.75966535135951008</v>
      </c>
      <c r="I43" s="245">
        <v>0.67551573474918425</v>
      </c>
      <c r="J43" s="246">
        <v>0.77083711168038205</v>
      </c>
      <c r="K43" s="246">
        <v>0</v>
      </c>
      <c r="L43" s="245">
        <v>0.62951100422678907</v>
      </c>
      <c r="M43" s="245">
        <v>0.64607388201655014</v>
      </c>
      <c r="N43" s="245">
        <v>0.63417897936717937</v>
      </c>
      <c r="O43" s="246">
        <v>0.6338642741559849</v>
      </c>
      <c r="P43" s="246">
        <v>0</v>
      </c>
      <c r="Q43" s="245">
        <v>0</v>
      </c>
      <c r="R43" s="246">
        <v>0</v>
      </c>
      <c r="S43" s="246">
        <v>0</v>
      </c>
      <c r="T43" s="246">
        <v>0</v>
      </c>
      <c r="U43" s="246">
        <v>0.72838120888135116</v>
      </c>
      <c r="V43" s="247"/>
    </row>
    <row r="44" spans="1:22">
      <c r="A44" s="242"/>
      <c r="B44" s="248" t="s">
        <v>808</v>
      </c>
      <c r="C44" s="249">
        <v>-0.41515724813686594</v>
      </c>
      <c r="D44" s="250">
        <v>-2.4187840099907487</v>
      </c>
      <c r="E44" s="250">
        <v>-1.0550289958193626</v>
      </c>
      <c r="F44" s="250">
        <v>3.7735544091009432</v>
      </c>
      <c r="G44" s="250">
        <v>-2.4228767670806617</v>
      </c>
      <c r="H44" s="250">
        <v>-3.0323180849462394</v>
      </c>
      <c r="I44" s="250">
        <v>-16.700099885188667</v>
      </c>
      <c r="J44" s="253">
        <v>-0.98958637030700514</v>
      </c>
      <c r="K44" s="253">
        <v>0</v>
      </c>
      <c r="L44" s="250">
        <v>1.2285795331308913</v>
      </c>
      <c r="M44" s="252">
        <v>-1.1008599709988798</v>
      </c>
      <c r="N44" s="250">
        <v>1.2563414861527789</v>
      </c>
      <c r="O44" s="253">
        <v>1.0444676810829834</v>
      </c>
      <c r="P44" s="253">
        <v>0</v>
      </c>
      <c r="Q44" s="250">
        <v>0</v>
      </c>
      <c r="R44" s="253">
        <v>0</v>
      </c>
      <c r="S44" s="253">
        <v>0</v>
      </c>
      <c r="T44" s="253">
        <v>0</v>
      </c>
      <c r="U44" s="253">
        <v>-0.13034096207819035</v>
      </c>
      <c r="V44" s="247"/>
    </row>
    <row r="45" spans="1:22">
      <c r="A45" s="242"/>
      <c r="B45" s="219" t="s">
        <v>809</v>
      </c>
      <c r="C45" s="239">
        <v>1.4344044137447318E-2</v>
      </c>
      <c r="D45" s="240">
        <v>0.10317256609310907</v>
      </c>
      <c r="E45" s="240">
        <v>3.8823023446698815E-2</v>
      </c>
      <c r="F45" s="240">
        <v>2.704277560533835E-2</v>
      </c>
      <c r="G45" s="240">
        <v>4.6066766436011791E-2</v>
      </c>
      <c r="H45" s="240">
        <v>1.6744699380049494E-2</v>
      </c>
      <c r="I45" s="240">
        <v>2.2115127175368138E-2</v>
      </c>
      <c r="J45" s="241">
        <v>3.448627617061311E-2</v>
      </c>
      <c r="K45" s="241">
        <v>0</v>
      </c>
      <c r="L45" s="240">
        <v>6.8370786902579528E-2</v>
      </c>
      <c r="M45" s="240">
        <v>0.11145367836399117</v>
      </c>
      <c r="N45" s="240">
        <v>0.12479537482135897</v>
      </c>
      <c r="O45" s="241">
        <v>0.1070914955391962</v>
      </c>
      <c r="P45" s="241">
        <v>0</v>
      </c>
      <c r="Q45" s="240">
        <v>0</v>
      </c>
      <c r="R45" s="241">
        <v>0</v>
      </c>
      <c r="S45" s="241">
        <v>0</v>
      </c>
      <c r="T45" s="241">
        <v>0</v>
      </c>
      <c r="U45" s="241">
        <v>5.8046746335277642E-2</v>
      </c>
      <c r="V45" s="247"/>
    </row>
    <row r="46" spans="1:22">
      <c r="A46" s="242"/>
      <c r="B46" s="243" t="s">
        <v>810</v>
      </c>
      <c r="C46" s="244">
        <v>1.4300287546730196E-2</v>
      </c>
      <c r="D46" s="245">
        <v>0.10822586520947176</v>
      </c>
      <c r="E46" s="245">
        <v>4.4597738661725693E-2</v>
      </c>
      <c r="F46" s="245">
        <v>2.3997850437469562E-2</v>
      </c>
      <c r="G46" s="245">
        <v>9.5616453164693804E-2</v>
      </c>
      <c r="H46" s="245">
        <v>1.8854173404920543E-2</v>
      </c>
      <c r="I46" s="245">
        <v>3.2907471931862178E-2</v>
      </c>
      <c r="J46" s="246">
        <v>3.8624624999055411E-2</v>
      </c>
      <c r="K46" s="246">
        <v>0</v>
      </c>
      <c r="L46" s="245">
        <v>6.4097799154642185E-2</v>
      </c>
      <c r="M46" s="245">
        <v>0.10200273816591347</v>
      </c>
      <c r="N46" s="245">
        <v>0.10668875041659513</v>
      </c>
      <c r="O46" s="246">
        <v>9.3992192026109297E-2</v>
      </c>
      <c r="P46" s="246">
        <v>0</v>
      </c>
      <c r="Q46" s="245">
        <v>0</v>
      </c>
      <c r="R46" s="246">
        <v>0</v>
      </c>
      <c r="S46" s="246">
        <v>0</v>
      </c>
      <c r="T46" s="246">
        <v>0</v>
      </c>
      <c r="U46" s="246">
        <v>5.5786276070938438E-2</v>
      </c>
      <c r="V46" s="247"/>
    </row>
    <row r="47" spans="1:22">
      <c r="A47" s="242"/>
      <c r="B47" s="248" t="s">
        <v>811</v>
      </c>
      <c r="C47" s="249">
        <v>-4.3756590717121749E-3</v>
      </c>
      <c r="D47" s="250">
        <v>0.5053299116362695</v>
      </c>
      <c r="E47" s="250">
        <v>0.57747152150268777</v>
      </c>
      <c r="F47" s="250">
        <v>-0.30449251678687889</v>
      </c>
      <c r="G47" s="250">
        <v>4.9549686728682012</v>
      </c>
      <c r="H47" s="250">
        <v>0.21094740248710497</v>
      </c>
      <c r="I47" s="250">
        <v>1.0792344756494039</v>
      </c>
      <c r="J47" s="253">
        <v>0.41383488284423009</v>
      </c>
      <c r="K47" s="253">
        <v>0</v>
      </c>
      <c r="L47" s="250">
        <v>-0.42729877479373429</v>
      </c>
      <c r="M47" s="250">
        <v>-0.94509401980776975</v>
      </c>
      <c r="N47" s="250">
        <v>-1.8106624404763836</v>
      </c>
      <c r="O47" s="253">
        <v>-1.30993035130869</v>
      </c>
      <c r="P47" s="253">
        <v>0</v>
      </c>
      <c r="Q47" s="250">
        <v>0</v>
      </c>
      <c r="R47" s="253">
        <v>0</v>
      </c>
      <c r="S47" s="253">
        <v>0</v>
      </c>
      <c r="T47" s="253">
        <v>0</v>
      </c>
      <c r="U47" s="253">
        <v>-0.22604702643392038</v>
      </c>
      <c r="V47" s="247"/>
    </row>
    <row r="48" spans="1:22">
      <c r="A48" s="242"/>
      <c r="B48" s="219" t="s">
        <v>812</v>
      </c>
      <c r="C48" s="239">
        <v>8.1985872008917673E-2</v>
      </c>
      <c r="D48" s="240">
        <v>0.33114596903467014</v>
      </c>
      <c r="E48" s="240">
        <v>0.20710245376088615</v>
      </c>
      <c r="F48" s="240">
        <v>0.21859576947648501</v>
      </c>
      <c r="G48" s="240">
        <v>0.26229459615641065</v>
      </c>
      <c r="H48" s="240">
        <v>0.19326676841097803</v>
      </c>
      <c r="I48" s="240">
        <v>0.11689424364123159</v>
      </c>
      <c r="J48" s="241">
        <v>0.18107603485901977</v>
      </c>
      <c r="K48" s="241">
        <v>0</v>
      </c>
      <c r="L48" s="240">
        <v>0.31423235631355262</v>
      </c>
      <c r="M48" s="240">
        <v>0.23146383990946987</v>
      </c>
      <c r="N48" s="240">
        <v>0.23709562167078083</v>
      </c>
      <c r="O48" s="241">
        <v>0.25921773653833574</v>
      </c>
      <c r="P48" s="241">
        <v>0</v>
      </c>
      <c r="Q48" s="240">
        <v>0</v>
      </c>
      <c r="R48" s="241">
        <v>0</v>
      </c>
      <c r="S48" s="241">
        <v>0</v>
      </c>
      <c r="T48" s="241">
        <v>0</v>
      </c>
      <c r="U48" s="241">
        <v>0.20643309936543569</v>
      </c>
      <c r="V48" s="247"/>
    </row>
    <row r="49" spans="1:22">
      <c r="A49" s="242"/>
      <c r="B49" s="243" t="s">
        <v>813</v>
      </c>
      <c r="C49" s="244">
        <v>8.5992806708807309E-2</v>
      </c>
      <c r="D49" s="245">
        <v>0.35028051001821492</v>
      </c>
      <c r="E49" s="245">
        <v>0.21208073651408599</v>
      </c>
      <c r="F49" s="245">
        <v>0.18390515055334442</v>
      </c>
      <c r="G49" s="245">
        <v>0.23673044700286472</v>
      </c>
      <c r="H49" s="245">
        <v>0.22148047523556935</v>
      </c>
      <c r="I49" s="245">
        <v>0.22858248990653171</v>
      </c>
      <c r="J49" s="246">
        <v>0.18652849251509449</v>
      </c>
      <c r="K49" s="246">
        <v>0</v>
      </c>
      <c r="L49" s="245">
        <v>0.30639119661856873</v>
      </c>
      <c r="M49" s="245">
        <v>0.25108739110944184</v>
      </c>
      <c r="N49" s="245">
        <v>0.24227489555665527</v>
      </c>
      <c r="O49" s="246">
        <v>0.26154083940450795</v>
      </c>
      <c r="P49" s="246">
        <v>0</v>
      </c>
      <c r="Q49" s="245">
        <v>0</v>
      </c>
      <c r="R49" s="246">
        <v>0</v>
      </c>
      <c r="S49" s="246">
        <v>0</v>
      </c>
      <c r="T49" s="246">
        <v>0</v>
      </c>
      <c r="U49" s="246">
        <v>0.20977921116722781</v>
      </c>
      <c r="V49" s="247"/>
    </row>
    <row r="50" spans="1:22">
      <c r="A50" s="242"/>
      <c r="B50" s="248" t="s">
        <v>814</v>
      </c>
      <c r="C50" s="249">
        <v>0.4006934699889636</v>
      </c>
      <c r="D50" s="250">
        <v>1.9134540983544779</v>
      </c>
      <c r="E50" s="250">
        <v>0.49782827531998364</v>
      </c>
      <c r="F50" s="250">
        <v>-3.4690618923140599</v>
      </c>
      <c r="G50" s="250">
        <v>-2.5564149153545932</v>
      </c>
      <c r="H50" s="250">
        <v>2.8213706824591318</v>
      </c>
      <c r="I50" s="250">
        <v>11.168824626530013</v>
      </c>
      <c r="J50" s="253">
        <v>0.54524576560747162</v>
      </c>
      <c r="K50" s="253">
        <v>0</v>
      </c>
      <c r="L50" s="250">
        <v>-0.78411596949838902</v>
      </c>
      <c r="M50" s="250">
        <v>1.9623551199971971</v>
      </c>
      <c r="N50" s="250">
        <v>0.51792738858744414</v>
      </c>
      <c r="O50" s="253">
        <v>0.23231028661722108</v>
      </c>
      <c r="P50" s="253">
        <v>0</v>
      </c>
      <c r="Q50" s="250">
        <v>0</v>
      </c>
      <c r="R50" s="253">
        <v>0</v>
      </c>
      <c r="S50" s="253">
        <v>0</v>
      </c>
      <c r="T50" s="253">
        <v>0</v>
      </c>
      <c r="U50" s="253">
        <v>0.33461118017921176</v>
      </c>
      <c r="V50" s="247"/>
    </row>
    <row r="51" spans="1:22">
      <c r="A51" s="242"/>
      <c r="B51" s="219" t="s">
        <v>815</v>
      </c>
      <c r="C51" s="239">
        <v>7.1548004483883696E-4</v>
      </c>
      <c r="D51" s="240">
        <v>0</v>
      </c>
      <c r="E51" s="240">
        <v>3.2950203627800374E-3</v>
      </c>
      <c r="F51" s="240">
        <v>0</v>
      </c>
      <c r="G51" s="240">
        <v>0</v>
      </c>
      <c r="H51" s="240">
        <v>0</v>
      </c>
      <c r="I51" s="240">
        <v>1.8473895582329317E-2</v>
      </c>
      <c r="J51" s="241">
        <v>1.6026524260241747E-3</v>
      </c>
      <c r="K51" s="241">
        <v>0</v>
      </c>
      <c r="L51" s="240">
        <v>1.7164788838767707E-4</v>
      </c>
      <c r="M51" s="240">
        <v>0</v>
      </c>
      <c r="N51" s="240">
        <v>1.6493439002208652E-2</v>
      </c>
      <c r="O51" s="241">
        <v>1.0271170577313051E-2</v>
      </c>
      <c r="P51" s="241">
        <v>0</v>
      </c>
      <c r="Q51" s="240">
        <v>0</v>
      </c>
      <c r="R51" s="241">
        <v>0</v>
      </c>
      <c r="S51" s="241">
        <v>0</v>
      </c>
      <c r="T51" s="241">
        <v>0</v>
      </c>
      <c r="U51" s="241">
        <v>4.4155956972026719E-3</v>
      </c>
      <c r="V51" s="247"/>
    </row>
    <row r="52" spans="1:22">
      <c r="A52" s="242"/>
      <c r="B52" s="243" t="s">
        <v>816</v>
      </c>
      <c r="C52" s="244">
        <v>5.2701490743337575E-4</v>
      </c>
      <c r="D52" s="245">
        <v>0</v>
      </c>
      <c r="E52" s="245">
        <v>1.8291784225375838E-3</v>
      </c>
      <c r="F52" s="245">
        <v>0</v>
      </c>
      <c r="G52" s="254">
        <v>2.432300956705043E-4</v>
      </c>
      <c r="H52" s="254">
        <v>0</v>
      </c>
      <c r="I52" s="245">
        <v>6.2994303412421876E-2</v>
      </c>
      <c r="J52" s="246">
        <v>1.3644555779737479E-3</v>
      </c>
      <c r="K52" s="246">
        <v>0</v>
      </c>
      <c r="L52" s="245">
        <v>0</v>
      </c>
      <c r="M52" s="245">
        <v>8.3598870809455149E-4</v>
      </c>
      <c r="N52" s="245">
        <v>1.6857374659570244E-2</v>
      </c>
      <c r="O52" s="246">
        <v>1.0602694413397836E-2</v>
      </c>
      <c r="P52" s="246">
        <v>0</v>
      </c>
      <c r="Q52" s="245">
        <v>0</v>
      </c>
      <c r="R52" s="246">
        <v>0</v>
      </c>
      <c r="S52" s="246">
        <v>0</v>
      </c>
      <c r="T52" s="246">
        <v>0</v>
      </c>
      <c r="U52" s="246">
        <v>4.2279267385324044E-3</v>
      </c>
      <c r="V52" s="247"/>
    </row>
    <row r="53" spans="1:22">
      <c r="A53" s="242"/>
      <c r="B53" s="248" t="s">
        <v>817</v>
      </c>
      <c r="C53" s="249">
        <v>-1.884651374054612E-2</v>
      </c>
      <c r="D53" s="250">
        <v>0</v>
      </c>
      <c r="E53" s="250">
        <v>-0.14658419402424536</v>
      </c>
      <c r="F53" s="250">
        <v>0</v>
      </c>
      <c r="G53" s="252">
        <v>0</v>
      </c>
      <c r="H53" s="252">
        <v>0</v>
      </c>
      <c r="I53" s="250">
        <v>4.4520407830092559</v>
      </c>
      <c r="J53" s="253">
        <v>-2.3819684805042672E-2</v>
      </c>
      <c r="K53" s="253">
        <v>0</v>
      </c>
      <c r="L53" s="250">
        <v>-1.7164788838767708E-2</v>
      </c>
      <c r="M53" s="250">
        <v>0</v>
      </c>
      <c r="N53" s="250">
        <v>3.639356573615915E-2</v>
      </c>
      <c r="O53" s="253">
        <v>3.3152383608478497E-2</v>
      </c>
      <c r="P53" s="253">
        <v>0</v>
      </c>
      <c r="Q53" s="250">
        <v>0</v>
      </c>
      <c r="R53" s="253">
        <v>0</v>
      </c>
      <c r="S53" s="253">
        <v>0</v>
      </c>
      <c r="T53" s="253">
        <v>0</v>
      </c>
      <c r="U53" s="253">
        <v>-1.8766895867026751E-2</v>
      </c>
      <c r="V53" s="247"/>
    </row>
    <row r="54" spans="1:22">
      <c r="A54" s="242"/>
      <c r="B54" s="219" t="s">
        <v>818</v>
      </c>
      <c r="C54" s="239">
        <v>0</v>
      </c>
      <c r="D54" s="240">
        <v>0</v>
      </c>
      <c r="E54" s="240">
        <v>1.3964173045605808E-3</v>
      </c>
      <c r="F54" s="240">
        <v>0</v>
      </c>
      <c r="G54" s="240">
        <v>0</v>
      </c>
      <c r="H54" s="240">
        <v>0</v>
      </c>
      <c r="I54" s="240">
        <v>0</v>
      </c>
      <c r="J54" s="241">
        <v>5.1487928618876202E-4</v>
      </c>
      <c r="K54" s="241">
        <v>0</v>
      </c>
      <c r="L54" s="240">
        <v>0</v>
      </c>
      <c r="M54" s="240">
        <v>0</v>
      </c>
      <c r="N54" s="240">
        <v>0</v>
      </c>
      <c r="O54" s="241">
        <v>0</v>
      </c>
      <c r="P54" s="241">
        <v>0</v>
      </c>
      <c r="Q54" s="240">
        <v>0</v>
      </c>
      <c r="R54" s="241">
        <v>0</v>
      </c>
      <c r="S54" s="241">
        <v>0</v>
      </c>
      <c r="T54" s="241">
        <v>0</v>
      </c>
      <c r="U54" s="241">
        <v>3.4780041546637425E-4</v>
      </c>
      <c r="V54" s="247"/>
    </row>
    <row r="55" spans="1:22">
      <c r="A55" s="242"/>
      <c r="B55" s="243" t="s">
        <v>819</v>
      </c>
      <c r="C55" s="244">
        <v>4.1606440060529664E-5</v>
      </c>
      <c r="D55" s="245">
        <v>0</v>
      </c>
      <c r="E55" s="245">
        <v>2.660862424727334E-3</v>
      </c>
      <c r="F55" s="245">
        <v>0</v>
      </c>
      <c r="G55" s="245">
        <v>0</v>
      </c>
      <c r="H55" s="245">
        <v>0</v>
      </c>
      <c r="I55" s="245">
        <v>0</v>
      </c>
      <c r="J55" s="246">
        <v>9.6772913785677045E-4</v>
      </c>
      <c r="K55" s="246">
        <v>0</v>
      </c>
      <c r="L55" s="245">
        <v>0</v>
      </c>
      <c r="M55" s="245">
        <v>0</v>
      </c>
      <c r="N55" s="245">
        <v>0</v>
      </c>
      <c r="O55" s="246">
        <v>0</v>
      </c>
      <c r="P55" s="246">
        <v>0</v>
      </c>
      <c r="Q55" s="245">
        <v>0</v>
      </c>
      <c r="R55" s="246">
        <v>0</v>
      </c>
      <c r="S55" s="246">
        <v>0</v>
      </c>
      <c r="T55" s="246">
        <v>0</v>
      </c>
      <c r="U55" s="246">
        <v>6.6777321261488455E-4</v>
      </c>
      <c r="V55" s="247"/>
    </row>
    <row r="56" spans="1:22">
      <c r="A56" s="242"/>
      <c r="B56" s="248" t="s">
        <v>820</v>
      </c>
      <c r="C56" s="249">
        <v>0</v>
      </c>
      <c r="D56" s="250">
        <v>0</v>
      </c>
      <c r="E56" s="250">
        <v>0.12644451201667531</v>
      </c>
      <c r="F56" s="250">
        <v>0</v>
      </c>
      <c r="G56" s="250">
        <v>0</v>
      </c>
      <c r="H56" s="250">
        <v>0</v>
      </c>
      <c r="I56" s="250">
        <v>0</v>
      </c>
      <c r="J56" s="253">
        <v>4.5284985166800844E-2</v>
      </c>
      <c r="K56" s="253">
        <v>0</v>
      </c>
      <c r="L56" s="250">
        <v>0</v>
      </c>
      <c r="M56" s="250">
        <v>0</v>
      </c>
      <c r="N56" s="250">
        <v>0</v>
      </c>
      <c r="O56" s="253">
        <v>0</v>
      </c>
      <c r="P56" s="253">
        <v>0</v>
      </c>
      <c r="Q56" s="250">
        <v>0</v>
      </c>
      <c r="R56" s="253">
        <v>0</v>
      </c>
      <c r="S56" s="253">
        <v>0</v>
      </c>
      <c r="T56" s="253">
        <v>0</v>
      </c>
      <c r="U56" s="253">
        <v>3.1997279714851029E-2</v>
      </c>
      <c r="V56" s="247"/>
    </row>
    <row r="57" spans="1:22">
      <c r="A57" s="242"/>
      <c r="B57" s="219" t="s">
        <v>821</v>
      </c>
      <c r="C57" s="239">
        <v>5.1383052673108593E-3</v>
      </c>
      <c r="D57" s="240">
        <v>0</v>
      </c>
      <c r="E57" s="240">
        <v>1.3111899573338787E-6</v>
      </c>
      <c r="F57" s="240">
        <v>0</v>
      </c>
      <c r="G57" s="240">
        <v>0</v>
      </c>
      <c r="H57" s="240">
        <v>0</v>
      </c>
      <c r="I57" s="240">
        <v>0</v>
      </c>
      <c r="J57" s="241">
        <v>1.587181874702071E-3</v>
      </c>
      <c r="K57" s="241">
        <v>0</v>
      </c>
      <c r="L57" s="240">
        <v>0</v>
      </c>
      <c r="M57" s="240">
        <v>0</v>
      </c>
      <c r="N57" s="240">
        <v>0</v>
      </c>
      <c r="O57" s="241">
        <v>0</v>
      </c>
      <c r="P57" s="241">
        <v>0</v>
      </c>
      <c r="Q57" s="240">
        <v>0</v>
      </c>
      <c r="R57" s="241">
        <v>0</v>
      </c>
      <c r="S57" s="241">
        <v>0</v>
      </c>
      <c r="T57" s="241">
        <v>0</v>
      </c>
      <c r="U57" s="241">
        <v>1.0721396844846072E-3</v>
      </c>
      <c r="V57" s="247"/>
    </row>
    <row r="58" spans="1:22">
      <c r="A58" s="242"/>
      <c r="B58" s="243" t="s">
        <v>822</v>
      </c>
      <c r="C58" s="244">
        <v>5.473558336851903E-3</v>
      </c>
      <c r="D58" s="245">
        <v>0</v>
      </c>
      <c r="E58" s="245">
        <v>0</v>
      </c>
      <c r="F58" s="245">
        <v>0</v>
      </c>
      <c r="G58" s="245">
        <v>0</v>
      </c>
      <c r="H58" s="245">
        <v>0</v>
      </c>
      <c r="I58" s="245">
        <v>0</v>
      </c>
      <c r="J58" s="246">
        <v>1.6775860896375053E-3</v>
      </c>
      <c r="K58" s="246">
        <v>0</v>
      </c>
      <c r="L58" s="245">
        <v>0</v>
      </c>
      <c r="M58" s="245">
        <v>0</v>
      </c>
      <c r="N58" s="245">
        <v>0</v>
      </c>
      <c r="O58" s="246">
        <v>0</v>
      </c>
      <c r="P58" s="246">
        <v>0</v>
      </c>
      <c r="Q58" s="245">
        <v>0</v>
      </c>
      <c r="R58" s="246">
        <v>0</v>
      </c>
      <c r="S58" s="246">
        <v>0</v>
      </c>
      <c r="T58" s="246">
        <v>0</v>
      </c>
      <c r="U58" s="246">
        <v>1.1576039293353195E-3</v>
      </c>
      <c r="V58" s="247"/>
    </row>
    <row r="59" spans="1:22" ht="15.75" thickBot="1">
      <c r="A59" s="242"/>
      <c r="B59" s="257" t="s">
        <v>823</v>
      </c>
      <c r="C59" s="258">
        <v>3.352530695410437E-2</v>
      </c>
      <c r="D59" s="259">
        <v>0</v>
      </c>
      <c r="E59" s="259">
        <v>-1.3111899573338786E-4</v>
      </c>
      <c r="F59" s="259">
        <v>0</v>
      </c>
      <c r="G59" s="259">
        <v>0</v>
      </c>
      <c r="H59" s="259">
        <v>0</v>
      </c>
      <c r="I59" s="259">
        <v>0</v>
      </c>
      <c r="J59" s="260">
        <v>9.0404214935434352E-3</v>
      </c>
      <c r="K59" s="260">
        <v>0</v>
      </c>
      <c r="L59" s="259">
        <v>0</v>
      </c>
      <c r="M59" s="259">
        <v>0</v>
      </c>
      <c r="N59" s="259">
        <v>0</v>
      </c>
      <c r="O59" s="260">
        <v>0</v>
      </c>
      <c r="P59" s="260">
        <v>0</v>
      </c>
      <c r="Q59" s="259">
        <v>0</v>
      </c>
      <c r="R59" s="260">
        <v>0</v>
      </c>
      <c r="S59" s="260">
        <v>0</v>
      </c>
      <c r="T59" s="260">
        <v>0</v>
      </c>
      <c r="U59" s="260">
        <v>8.5464244850712336E-3</v>
      </c>
      <c r="V59" s="247"/>
    </row>
    <row r="60" spans="1:22" ht="15.75" thickTop="1">
      <c r="A60" s="242"/>
      <c r="B60" s="243" t="s">
        <v>824</v>
      </c>
      <c r="C60" s="244">
        <v>0.69274823262802665</v>
      </c>
      <c r="D60" s="245">
        <v>0.64323701054216864</v>
      </c>
      <c r="E60" s="245">
        <v>0.32964903813004204</v>
      </c>
      <c r="F60" s="245">
        <v>0.19168274743406885</v>
      </c>
      <c r="G60" s="245">
        <v>0.16685034163544193</v>
      </c>
      <c r="H60" s="245">
        <v>0.66099635479951402</v>
      </c>
      <c r="I60" s="245">
        <v>0.91114536719697081</v>
      </c>
      <c r="J60" s="246">
        <v>0.53240329874402947</v>
      </c>
      <c r="K60" s="246">
        <v>0</v>
      </c>
      <c r="L60" s="245">
        <v>0</v>
      </c>
      <c r="M60" s="245">
        <v>0</v>
      </c>
      <c r="N60" s="245">
        <v>0</v>
      </c>
      <c r="O60" s="246">
        <v>0</v>
      </c>
      <c r="P60" s="246">
        <v>0</v>
      </c>
      <c r="Q60" s="245">
        <v>0</v>
      </c>
      <c r="R60" s="246">
        <v>0</v>
      </c>
      <c r="S60" s="246">
        <v>0</v>
      </c>
      <c r="T60" s="246">
        <v>0</v>
      </c>
      <c r="U60" s="246">
        <v>0.53240329874402947</v>
      </c>
      <c r="V60" s="247"/>
    </row>
    <row r="61" spans="1:22">
      <c r="A61" s="242"/>
      <c r="B61" s="243" t="s">
        <v>825</v>
      </c>
      <c r="C61" s="244">
        <v>0.683090047156241</v>
      </c>
      <c r="D61" s="245">
        <v>0.70930865541643984</v>
      </c>
      <c r="E61" s="245">
        <v>0.31324086089464731</v>
      </c>
      <c r="F61" s="245">
        <v>0.13367309549981679</v>
      </c>
      <c r="G61" s="245">
        <v>0.14759192128430865</v>
      </c>
      <c r="H61" s="245">
        <v>0.70687575392038604</v>
      </c>
      <c r="I61" s="245">
        <v>0</v>
      </c>
      <c r="J61" s="246">
        <v>0.44490416635592206</v>
      </c>
      <c r="K61" s="246">
        <v>0</v>
      </c>
      <c r="L61" s="245">
        <v>0</v>
      </c>
      <c r="M61" s="245">
        <v>0</v>
      </c>
      <c r="N61" s="245">
        <v>0</v>
      </c>
      <c r="O61" s="246">
        <v>0</v>
      </c>
      <c r="P61" s="246">
        <v>0</v>
      </c>
      <c r="Q61" s="245">
        <v>0</v>
      </c>
      <c r="R61" s="246">
        <v>0</v>
      </c>
      <c r="S61" s="246">
        <v>0</v>
      </c>
      <c r="T61" s="246">
        <v>0</v>
      </c>
      <c r="U61" s="246">
        <v>0.44490416635592206</v>
      </c>
      <c r="V61" s="247"/>
    </row>
    <row r="62" spans="1:22">
      <c r="A62" s="242"/>
      <c r="B62" s="248" t="s">
        <v>826</v>
      </c>
      <c r="C62" s="249">
        <v>-0.96581854717856519</v>
      </c>
      <c r="D62" s="250">
        <v>6.60716448742712</v>
      </c>
      <c r="E62" s="250">
        <v>-1.6408177235394728</v>
      </c>
      <c r="F62" s="250">
        <v>-5.8009651934252062</v>
      </c>
      <c r="G62" s="250">
        <v>-1.9258420351133287</v>
      </c>
      <c r="H62" s="250">
        <v>4.5879399120872026</v>
      </c>
      <c r="I62" s="250">
        <v>-91.114536719697085</v>
      </c>
      <c r="J62" s="253">
        <v>-8.7499132388107412</v>
      </c>
      <c r="K62" s="253">
        <v>0</v>
      </c>
      <c r="L62" s="250">
        <v>0</v>
      </c>
      <c r="M62" s="250">
        <v>0</v>
      </c>
      <c r="N62" s="250">
        <v>0</v>
      </c>
      <c r="O62" s="253">
        <v>0</v>
      </c>
      <c r="P62" s="253">
        <v>0</v>
      </c>
      <c r="Q62" s="250">
        <v>0</v>
      </c>
      <c r="R62" s="253">
        <v>0</v>
      </c>
      <c r="S62" s="253">
        <v>0</v>
      </c>
      <c r="T62" s="253">
        <v>0</v>
      </c>
      <c r="U62" s="253">
        <v>-8.7499132388107412</v>
      </c>
      <c r="V62" s="247"/>
    </row>
    <row r="63" spans="1:22">
      <c r="A63" s="242"/>
      <c r="B63" s="219" t="s">
        <v>827</v>
      </c>
      <c r="C63" s="239">
        <v>1.5740079316205632E-2</v>
      </c>
      <c r="D63" s="240">
        <v>0.11775225903614457</v>
      </c>
      <c r="E63" s="240">
        <v>1.1376956491760326E-2</v>
      </c>
      <c r="F63" s="240">
        <v>7.7187683530497528E-2</v>
      </c>
      <c r="G63" s="240">
        <v>1.3224597751818382E-3</v>
      </c>
      <c r="H63" s="240">
        <v>0</v>
      </c>
      <c r="I63" s="240">
        <v>1.2676414684885583E-2</v>
      </c>
      <c r="J63" s="241">
        <v>3.0584644892271581E-2</v>
      </c>
      <c r="K63" s="241">
        <v>0</v>
      </c>
      <c r="L63" s="240">
        <v>0</v>
      </c>
      <c r="M63" s="240">
        <v>0</v>
      </c>
      <c r="N63" s="240">
        <v>0</v>
      </c>
      <c r="O63" s="241">
        <v>0</v>
      </c>
      <c r="P63" s="241">
        <v>0</v>
      </c>
      <c r="Q63" s="240">
        <v>0</v>
      </c>
      <c r="R63" s="241">
        <v>0</v>
      </c>
      <c r="S63" s="241">
        <v>0</v>
      </c>
      <c r="T63" s="241">
        <v>0</v>
      </c>
      <c r="U63" s="241">
        <v>3.0584644892271581E-2</v>
      </c>
      <c r="V63" s="247"/>
    </row>
    <row r="64" spans="1:22">
      <c r="A64" s="242"/>
      <c r="B64" s="243" t="s">
        <v>828</v>
      </c>
      <c r="C64" s="244">
        <v>1.2833502195204323E-2</v>
      </c>
      <c r="D64" s="245">
        <v>4.8282880878559083E-3</v>
      </c>
      <c r="E64" s="245">
        <v>2.111222424678442E-3</v>
      </c>
      <c r="F64" s="245">
        <v>0.14123446920488991</v>
      </c>
      <c r="G64" s="245">
        <v>0</v>
      </c>
      <c r="H64" s="245">
        <v>0</v>
      </c>
      <c r="I64" s="245">
        <v>0</v>
      </c>
      <c r="J64" s="246">
        <v>1.8754924626863251E-2</v>
      </c>
      <c r="K64" s="246">
        <v>0</v>
      </c>
      <c r="L64" s="245">
        <v>0</v>
      </c>
      <c r="M64" s="245">
        <v>0</v>
      </c>
      <c r="N64" s="245">
        <v>0</v>
      </c>
      <c r="O64" s="246">
        <v>0</v>
      </c>
      <c r="P64" s="246">
        <v>0</v>
      </c>
      <c r="Q64" s="245">
        <v>0</v>
      </c>
      <c r="R64" s="246">
        <v>0</v>
      </c>
      <c r="S64" s="246">
        <v>0</v>
      </c>
      <c r="T64" s="246">
        <v>0</v>
      </c>
      <c r="U64" s="246">
        <v>1.8754924626863251E-2</v>
      </c>
      <c r="V64" s="247"/>
    </row>
    <row r="65" spans="1:23">
      <c r="A65" s="242"/>
      <c r="B65" s="248" t="s">
        <v>829</v>
      </c>
      <c r="C65" s="249">
        <v>-0.29065771210013086</v>
      </c>
      <c r="D65" s="250">
        <v>-11.292397094828868</v>
      </c>
      <c r="E65" s="250">
        <v>-0.92657340670818833</v>
      </c>
      <c r="F65" s="252">
        <v>6.4046785674392384</v>
      </c>
      <c r="G65" s="250">
        <v>-0.13224597751818382</v>
      </c>
      <c r="H65" s="250">
        <v>0</v>
      </c>
      <c r="I65" s="250">
        <v>-1.2676414684885582</v>
      </c>
      <c r="J65" s="253">
        <v>-1.182972026540833</v>
      </c>
      <c r="K65" s="253">
        <v>0</v>
      </c>
      <c r="L65" s="250">
        <v>0</v>
      </c>
      <c r="M65" s="250">
        <v>0</v>
      </c>
      <c r="N65" s="250">
        <v>0</v>
      </c>
      <c r="O65" s="253">
        <v>0</v>
      </c>
      <c r="P65" s="253">
        <v>0</v>
      </c>
      <c r="Q65" s="250">
        <v>0</v>
      </c>
      <c r="R65" s="253">
        <v>0</v>
      </c>
      <c r="S65" s="253">
        <v>0</v>
      </c>
      <c r="T65" s="253">
        <v>0</v>
      </c>
      <c r="U65" s="253">
        <v>-1.182972026540833</v>
      </c>
      <c r="V65" s="247"/>
    </row>
    <row r="66" spans="1:23">
      <c r="A66" s="242"/>
      <c r="B66" s="219" t="s">
        <v>830</v>
      </c>
      <c r="C66" s="239">
        <v>0.29127768061679432</v>
      </c>
      <c r="D66" s="240">
        <v>0.23901073042168675</v>
      </c>
      <c r="E66" s="240">
        <v>0.6223677859753155</v>
      </c>
      <c r="F66" s="240">
        <v>0.73112956903543358</v>
      </c>
      <c r="G66" s="240">
        <v>0.83182719858937626</v>
      </c>
      <c r="H66" s="240">
        <v>0.33900364520048604</v>
      </c>
      <c r="I66" s="240">
        <v>4.609605339958394E-2</v>
      </c>
      <c r="J66" s="241">
        <v>0.41757246136850723</v>
      </c>
      <c r="K66" s="241">
        <v>0</v>
      </c>
      <c r="L66" s="240">
        <v>0</v>
      </c>
      <c r="M66" s="240">
        <v>0</v>
      </c>
      <c r="N66" s="240">
        <v>0</v>
      </c>
      <c r="O66" s="241">
        <v>0</v>
      </c>
      <c r="P66" s="241">
        <v>0</v>
      </c>
      <c r="Q66" s="240">
        <v>0</v>
      </c>
      <c r="R66" s="241">
        <v>0</v>
      </c>
      <c r="S66" s="241">
        <v>0</v>
      </c>
      <c r="T66" s="241">
        <v>0</v>
      </c>
      <c r="U66" s="241">
        <v>0.41757246136850723</v>
      </c>
      <c r="V66" s="247"/>
    </row>
    <row r="67" spans="1:23">
      <c r="A67" s="242"/>
      <c r="B67" s="243" t="s">
        <v>831</v>
      </c>
      <c r="C67" s="244">
        <v>0.30396387606789499</v>
      </c>
      <c r="D67" s="245">
        <v>0.28586305649570426</v>
      </c>
      <c r="E67" s="245">
        <v>0.64853525539740065</v>
      </c>
      <c r="F67" s="245">
        <v>0.72509243529529332</v>
      </c>
      <c r="G67" s="245">
        <v>0.85240807871569135</v>
      </c>
      <c r="H67" s="245">
        <v>0.29312424607961401</v>
      </c>
      <c r="I67" s="245">
        <v>0</v>
      </c>
      <c r="J67" s="246">
        <v>0.51889597566788481</v>
      </c>
      <c r="K67" s="246">
        <v>0</v>
      </c>
      <c r="L67" s="245">
        <v>0</v>
      </c>
      <c r="M67" s="245">
        <v>0</v>
      </c>
      <c r="N67" s="245">
        <v>0</v>
      </c>
      <c r="O67" s="246">
        <v>0</v>
      </c>
      <c r="P67" s="246">
        <v>0</v>
      </c>
      <c r="Q67" s="245">
        <v>0</v>
      </c>
      <c r="R67" s="246">
        <v>0</v>
      </c>
      <c r="S67" s="246">
        <v>0</v>
      </c>
      <c r="T67" s="246">
        <v>0</v>
      </c>
      <c r="U67" s="246">
        <v>0.51889597566788481</v>
      </c>
      <c r="V67" s="247"/>
    </row>
    <row r="68" spans="1:23">
      <c r="A68" s="242"/>
      <c r="B68" s="248" t="s">
        <v>832</v>
      </c>
      <c r="C68" s="249">
        <v>1.2686195451100668</v>
      </c>
      <c r="D68" s="250">
        <v>4.6852326074017512</v>
      </c>
      <c r="E68" s="250">
        <v>2.6167469422085143</v>
      </c>
      <c r="F68" s="252">
        <v>-0.60371337401402547</v>
      </c>
      <c r="G68" s="250">
        <v>2.0580880126315093</v>
      </c>
      <c r="H68" s="250">
        <v>-4.5879399120872026</v>
      </c>
      <c r="I68" s="250">
        <v>-4.6096053399583941</v>
      </c>
      <c r="J68" s="253">
        <v>10.132351429937758</v>
      </c>
      <c r="K68" s="253">
        <v>0</v>
      </c>
      <c r="L68" s="250">
        <v>0</v>
      </c>
      <c r="M68" s="250">
        <v>0</v>
      </c>
      <c r="N68" s="250">
        <v>0</v>
      </c>
      <c r="O68" s="253">
        <v>0</v>
      </c>
      <c r="P68" s="253">
        <v>0</v>
      </c>
      <c r="Q68" s="250">
        <v>0</v>
      </c>
      <c r="R68" s="253">
        <v>0</v>
      </c>
      <c r="S68" s="253">
        <v>0</v>
      </c>
      <c r="T68" s="253">
        <v>0</v>
      </c>
      <c r="U68" s="253">
        <v>10.132351429937758</v>
      </c>
      <c r="V68" s="247"/>
    </row>
    <row r="69" spans="1:23">
      <c r="A69" s="242"/>
      <c r="B69" s="219" t="s">
        <v>833</v>
      </c>
      <c r="C69" s="239">
        <v>0</v>
      </c>
      <c r="D69" s="240">
        <v>0</v>
      </c>
      <c r="E69" s="240">
        <v>3.4303247603944015E-2</v>
      </c>
      <c r="F69" s="240">
        <v>0</v>
      </c>
      <c r="G69" s="240">
        <v>0</v>
      </c>
      <c r="H69" s="240">
        <v>0</v>
      </c>
      <c r="I69" s="240">
        <v>3.0082164718559647E-2</v>
      </c>
      <c r="J69" s="241">
        <v>1.8504438681032222E-2</v>
      </c>
      <c r="K69" s="241">
        <v>0</v>
      </c>
      <c r="L69" s="240">
        <v>0</v>
      </c>
      <c r="M69" s="240">
        <v>0</v>
      </c>
      <c r="N69" s="240">
        <v>0</v>
      </c>
      <c r="O69" s="241">
        <v>0</v>
      </c>
      <c r="P69" s="241">
        <v>0</v>
      </c>
      <c r="Q69" s="240">
        <v>0</v>
      </c>
      <c r="R69" s="241">
        <v>0</v>
      </c>
      <c r="S69" s="241">
        <v>0</v>
      </c>
      <c r="T69" s="241">
        <v>0</v>
      </c>
      <c r="U69" s="241">
        <v>1.8504438681032222E-2</v>
      </c>
      <c r="V69" s="247"/>
    </row>
    <row r="70" spans="1:23">
      <c r="A70" s="242"/>
      <c r="B70" s="243" t="s">
        <v>834</v>
      </c>
      <c r="C70" s="244">
        <v>1.1257458065968704E-4</v>
      </c>
      <c r="D70" s="245">
        <v>0</v>
      </c>
      <c r="E70" s="245">
        <v>3.2239845625264746E-2</v>
      </c>
      <c r="F70" s="254">
        <v>0</v>
      </c>
      <c r="G70" s="245">
        <v>0</v>
      </c>
      <c r="H70" s="245">
        <v>0</v>
      </c>
      <c r="I70" s="245">
        <v>0</v>
      </c>
      <c r="J70" s="246">
        <v>1.5577223013044789E-2</v>
      </c>
      <c r="K70" s="246">
        <v>0</v>
      </c>
      <c r="L70" s="245">
        <v>0</v>
      </c>
      <c r="M70" s="245">
        <v>0</v>
      </c>
      <c r="N70" s="245">
        <v>0</v>
      </c>
      <c r="O70" s="246">
        <v>0</v>
      </c>
      <c r="P70" s="246">
        <v>0</v>
      </c>
      <c r="Q70" s="245">
        <v>0</v>
      </c>
      <c r="R70" s="246">
        <v>0</v>
      </c>
      <c r="S70" s="246">
        <v>0</v>
      </c>
      <c r="T70" s="246">
        <v>0</v>
      </c>
      <c r="U70" s="246">
        <v>1.5577223013044789E-2</v>
      </c>
      <c r="V70" s="247"/>
    </row>
    <row r="71" spans="1:23">
      <c r="A71" s="242"/>
      <c r="B71" s="248" t="s">
        <v>835</v>
      </c>
      <c r="C71" s="249">
        <v>0</v>
      </c>
      <c r="D71" s="250">
        <v>0</v>
      </c>
      <c r="E71" s="250">
        <v>-0.2063401978679269</v>
      </c>
      <c r="F71" s="250">
        <v>0</v>
      </c>
      <c r="G71" s="250">
        <v>0</v>
      </c>
      <c r="H71" s="250">
        <v>0</v>
      </c>
      <c r="I71" s="250">
        <v>-3.0082164718559645</v>
      </c>
      <c r="J71" s="253">
        <v>-0.29272156679874328</v>
      </c>
      <c r="K71" s="253">
        <v>0</v>
      </c>
      <c r="L71" s="250">
        <v>0</v>
      </c>
      <c r="M71" s="250">
        <v>0</v>
      </c>
      <c r="N71" s="250">
        <v>0</v>
      </c>
      <c r="O71" s="253">
        <v>0</v>
      </c>
      <c r="P71" s="253">
        <v>0</v>
      </c>
      <c r="Q71" s="250">
        <v>0</v>
      </c>
      <c r="R71" s="253">
        <v>0</v>
      </c>
      <c r="S71" s="253">
        <v>0</v>
      </c>
      <c r="T71" s="253">
        <v>0</v>
      </c>
      <c r="U71" s="253">
        <v>-0.29272156679874328</v>
      </c>
      <c r="V71" s="247"/>
    </row>
    <row r="72" spans="1:23">
      <c r="A72" s="242"/>
      <c r="B72" s="219" t="s">
        <v>836</v>
      </c>
      <c r="C72" s="239">
        <v>2.3400743897332316E-4</v>
      </c>
      <c r="D72" s="240">
        <v>0</v>
      </c>
      <c r="E72" s="240">
        <v>2.3029717989381509E-3</v>
      </c>
      <c r="F72" s="240">
        <v>0</v>
      </c>
      <c r="G72" s="240">
        <v>0</v>
      </c>
      <c r="H72" s="240">
        <v>0</v>
      </c>
      <c r="I72" s="240">
        <v>0</v>
      </c>
      <c r="J72" s="241">
        <v>9.3515631415953815E-4</v>
      </c>
      <c r="K72" s="241">
        <v>0</v>
      </c>
      <c r="L72" s="240">
        <v>0</v>
      </c>
      <c r="M72" s="240">
        <v>0</v>
      </c>
      <c r="N72" s="240">
        <v>0</v>
      </c>
      <c r="O72" s="241">
        <v>0</v>
      </c>
      <c r="P72" s="241">
        <v>0</v>
      </c>
      <c r="Q72" s="240">
        <v>0</v>
      </c>
      <c r="R72" s="241">
        <v>0</v>
      </c>
      <c r="S72" s="241">
        <v>0</v>
      </c>
      <c r="T72" s="241">
        <v>0</v>
      </c>
      <c r="U72" s="241">
        <v>9.3515631415953815E-4</v>
      </c>
      <c r="V72" s="247"/>
    </row>
    <row r="73" spans="1:23">
      <c r="A73" s="242"/>
      <c r="B73" s="243" t="s">
        <v>837</v>
      </c>
      <c r="C73" s="244">
        <v>0</v>
      </c>
      <c r="D73" s="245">
        <v>0</v>
      </c>
      <c r="E73" s="245">
        <v>3.8728156580088617E-3</v>
      </c>
      <c r="F73" s="245">
        <v>0</v>
      </c>
      <c r="G73" s="245">
        <v>0</v>
      </c>
      <c r="H73" s="245">
        <v>0</v>
      </c>
      <c r="I73" s="245">
        <v>0</v>
      </c>
      <c r="J73" s="246">
        <v>1.8677103362851372E-3</v>
      </c>
      <c r="K73" s="246">
        <v>0</v>
      </c>
      <c r="L73" s="245">
        <v>0</v>
      </c>
      <c r="M73" s="245">
        <v>0</v>
      </c>
      <c r="N73" s="245">
        <v>0</v>
      </c>
      <c r="O73" s="246">
        <v>0</v>
      </c>
      <c r="P73" s="246">
        <v>0</v>
      </c>
      <c r="Q73" s="245">
        <v>0</v>
      </c>
      <c r="R73" s="246">
        <v>0</v>
      </c>
      <c r="S73" s="246">
        <v>0</v>
      </c>
      <c r="T73" s="246">
        <v>0</v>
      </c>
      <c r="U73" s="246">
        <v>1.8677103362851372E-3</v>
      </c>
      <c r="V73" s="247"/>
    </row>
    <row r="74" spans="1:23">
      <c r="A74" s="242"/>
      <c r="B74" s="248" t="s">
        <v>838</v>
      </c>
      <c r="C74" s="249">
        <v>-2.3400743897332314E-2</v>
      </c>
      <c r="D74" s="250">
        <v>0</v>
      </c>
      <c r="E74" s="250">
        <v>0.15698438590707109</v>
      </c>
      <c r="F74" s="250">
        <v>0</v>
      </c>
      <c r="G74" s="250">
        <v>0</v>
      </c>
      <c r="H74" s="250">
        <v>0</v>
      </c>
      <c r="I74" s="250">
        <v>0</v>
      </c>
      <c r="J74" s="253">
        <v>9.3255402212559901E-2</v>
      </c>
      <c r="K74" s="253">
        <v>0</v>
      </c>
      <c r="L74" s="250">
        <v>0</v>
      </c>
      <c r="M74" s="250">
        <v>0</v>
      </c>
      <c r="N74" s="250">
        <v>0</v>
      </c>
      <c r="O74" s="253">
        <v>0</v>
      </c>
      <c r="P74" s="253">
        <v>0</v>
      </c>
      <c r="Q74" s="250">
        <v>0</v>
      </c>
      <c r="R74" s="253">
        <v>0</v>
      </c>
      <c r="S74" s="253">
        <v>0</v>
      </c>
      <c r="T74" s="253">
        <v>0</v>
      </c>
      <c r="U74" s="253">
        <v>9.3255402212559901E-2</v>
      </c>
      <c r="V74" s="247"/>
    </row>
    <row r="75" spans="1:23">
      <c r="A75" s="242"/>
      <c r="B75" s="219" t="s">
        <v>839</v>
      </c>
      <c r="C75" s="239">
        <v>0</v>
      </c>
      <c r="D75" s="240">
        <v>0</v>
      </c>
      <c r="E75" s="240">
        <v>0</v>
      </c>
      <c r="F75" s="240">
        <v>0</v>
      </c>
      <c r="G75" s="240">
        <v>0</v>
      </c>
      <c r="H75" s="240">
        <v>0</v>
      </c>
      <c r="I75" s="240">
        <v>0</v>
      </c>
      <c r="J75" s="241">
        <v>0</v>
      </c>
      <c r="K75" s="241">
        <v>0</v>
      </c>
      <c r="L75" s="240">
        <v>0</v>
      </c>
      <c r="M75" s="240">
        <v>0</v>
      </c>
      <c r="N75" s="240">
        <v>0</v>
      </c>
      <c r="O75" s="241">
        <v>0</v>
      </c>
      <c r="P75" s="241">
        <v>0</v>
      </c>
      <c r="Q75" s="240">
        <v>0</v>
      </c>
      <c r="R75" s="241">
        <v>0</v>
      </c>
      <c r="S75" s="241">
        <v>0</v>
      </c>
      <c r="T75" s="241">
        <v>0</v>
      </c>
      <c r="U75" s="241">
        <v>0</v>
      </c>
      <c r="V75" s="247"/>
    </row>
    <row r="76" spans="1:23">
      <c r="A76" s="242"/>
      <c r="B76" s="243" t="s">
        <v>840</v>
      </c>
      <c r="C76" s="244">
        <v>0</v>
      </c>
      <c r="D76" s="245">
        <v>0</v>
      </c>
      <c r="E76" s="245">
        <v>0</v>
      </c>
      <c r="F76" s="245">
        <v>0</v>
      </c>
      <c r="G76" s="245">
        <v>0</v>
      </c>
      <c r="H76" s="245">
        <v>0</v>
      </c>
      <c r="I76" s="245">
        <v>0</v>
      </c>
      <c r="J76" s="246">
        <v>0</v>
      </c>
      <c r="K76" s="246">
        <v>0</v>
      </c>
      <c r="L76" s="245">
        <v>0</v>
      </c>
      <c r="M76" s="245">
        <v>0</v>
      </c>
      <c r="N76" s="245">
        <v>0</v>
      </c>
      <c r="O76" s="246">
        <v>0</v>
      </c>
      <c r="P76" s="246">
        <v>0</v>
      </c>
      <c r="Q76" s="245">
        <v>0</v>
      </c>
      <c r="R76" s="246">
        <v>0</v>
      </c>
      <c r="S76" s="246">
        <v>0</v>
      </c>
      <c r="T76" s="246">
        <v>0</v>
      </c>
      <c r="U76" s="246">
        <v>0</v>
      </c>
      <c r="V76" s="247"/>
      <c r="W76" s="267"/>
    </row>
    <row r="77" spans="1:23" ht="15.75" thickBot="1">
      <c r="A77" s="261"/>
      <c r="B77" s="262" t="s">
        <v>841</v>
      </c>
      <c r="C77" s="263">
        <v>0</v>
      </c>
      <c r="D77" s="264">
        <v>0</v>
      </c>
      <c r="E77" s="264">
        <v>0</v>
      </c>
      <c r="F77" s="264">
        <v>0</v>
      </c>
      <c r="G77" s="264">
        <v>0</v>
      </c>
      <c r="H77" s="264">
        <v>0</v>
      </c>
      <c r="I77" s="264">
        <v>0</v>
      </c>
      <c r="J77" s="265">
        <v>0</v>
      </c>
      <c r="K77" s="265">
        <v>0</v>
      </c>
      <c r="L77" s="264">
        <v>0</v>
      </c>
      <c r="M77" s="264">
        <v>0</v>
      </c>
      <c r="N77" s="264">
        <v>0</v>
      </c>
      <c r="O77" s="265">
        <v>0</v>
      </c>
      <c r="P77" s="265">
        <v>0</v>
      </c>
      <c r="Q77" s="264">
        <v>0</v>
      </c>
      <c r="R77" s="265">
        <v>0</v>
      </c>
      <c r="S77" s="265">
        <v>0</v>
      </c>
      <c r="T77" s="265">
        <v>0</v>
      </c>
      <c r="U77" s="265">
        <v>0</v>
      </c>
      <c r="V77" s="247"/>
    </row>
    <row r="78" spans="1:23">
      <c r="A78" s="238" t="s">
        <v>143</v>
      </c>
      <c r="B78" s="219" t="s">
        <v>806</v>
      </c>
      <c r="C78" s="239">
        <v>0.9659201035566447</v>
      </c>
      <c r="D78" s="240">
        <v>0</v>
      </c>
      <c r="E78" s="240">
        <v>0.95960528684002533</v>
      </c>
      <c r="F78" s="240">
        <v>0</v>
      </c>
      <c r="G78" s="240">
        <v>0</v>
      </c>
      <c r="H78" s="240">
        <v>0</v>
      </c>
      <c r="I78" s="240">
        <v>0</v>
      </c>
      <c r="J78" s="241">
        <v>0.96477650690085692</v>
      </c>
      <c r="K78" s="241">
        <v>0</v>
      </c>
      <c r="L78" s="240">
        <v>0</v>
      </c>
      <c r="M78" s="240">
        <v>0.86055778335633581</v>
      </c>
      <c r="N78" s="240">
        <v>0</v>
      </c>
      <c r="O78" s="241">
        <v>0.86055778335633581</v>
      </c>
      <c r="P78" s="241">
        <v>0</v>
      </c>
      <c r="Q78" s="240">
        <v>0</v>
      </c>
      <c r="R78" s="241">
        <v>0</v>
      </c>
      <c r="S78" s="241">
        <v>0</v>
      </c>
      <c r="T78" s="241">
        <v>0</v>
      </c>
      <c r="U78" s="241">
        <v>0.93546970848349897</v>
      </c>
      <c r="V78" s="247"/>
    </row>
    <row r="79" spans="1:23">
      <c r="A79" s="242"/>
      <c r="B79" s="243" t="s">
        <v>807</v>
      </c>
      <c r="C79" s="244">
        <v>0.96399075104907084</v>
      </c>
      <c r="D79" s="245">
        <v>0</v>
      </c>
      <c r="E79" s="245">
        <v>0.94801350087430358</v>
      </c>
      <c r="F79" s="245">
        <v>0</v>
      </c>
      <c r="G79" s="245">
        <v>0</v>
      </c>
      <c r="H79" s="245">
        <v>0</v>
      </c>
      <c r="I79" s="245">
        <v>0</v>
      </c>
      <c r="J79" s="246">
        <v>0.96121136664285056</v>
      </c>
      <c r="K79" s="246">
        <v>0</v>
      </c>
      <c r="L79" s="245">
        <v>0</v>
      </c>
      <c r="M79" s="245">
        <v>0.83456419910633561</v>
      </c>
      <c r="N79" s="245">
        <v>0</v>
      </c>
      <c r="O79" s="246">
        <v>0.83456419910633561</v>
      </c>
      <c r="P79" s="246">
        <v>0</v>
      </c>
      <c r="Q79" s="245">
        <v>0</v>
      </c>
      <c r="R79" s="246">
        <v>0</v>
      </c>
      <c r="S79" s="246">
        <v>0</v>
      </c>
      <c r="T79" s="246">
        <v>0</v>
      </c>
      <c r="U79" s="246">
        <v>0.92631915587144542</v>
      </c>
      <c r="V79" s="247"/>
    </row>
    <row r="80" spans="1:23">
      <c r="A80" s="242"/>
      <c r="B80" s="248" t="s">
        <v>808</v>
      </c>
      <c r="C80" s="249">
        <v>-0.19293525075738671</v>
      </c>
      <c r="D80" s="250">
        <v>0</v>
      </c>
      <c r="E80" s="250">
        <v>-1.1591785965721746</v>
      </c>
      <c r="F80" s="250">
        <v>0</v>
      </c>
      <c r="G80" s="250">
        <v>0</v>
      </c>
      <c r="H80" s="250">
        <v>0</v>
      </c>
      <c r="I80" s="250">
        <v>0</v>
      </c>
      <c r="J80" s="253">
        <v>-0.35651402580063607</v>
      </c>
      <c r="K80" s="253">
        <v>0</v>
      </c>
      <c r="L80" s="250">
        <v>0</v>
      </c>
      <c r="M80" s="250">
        <v>-2.5993584250000201</v>
      </c>
      <c r="N80" s="250">
        <v>0</v>
      </c>
      <c r="O80" s="253">
        <v>-2.5993584250000201</v>
      </c>
      <c r="P80" s="253">
        <v>0</v>
      </c>
      <c r="Q80" s="250">
        <v>0</v>
      </c>
      <c r="R80" s="253">
        <v>0</v>
      </c>
      <c r="S80" s="253">
        <v>0</v>
      </c>
      <c r="T80" s="253">
        <v>0</v>
      </c>
      <c r="U80" s="253">
        <v>-0.9150552612053553</v>
      </c>
      <c r="V80" s="247"/>
    </row>
    <row r="81" spans="1:22">
      <c r="A81" s="242"/>
      <c r="B81" s="219" t="s">
        <v>809</v>
      </c>
      <c r="C81" s="239">
        <v>0</v>
      </c>
      <c r="D81" s="240">
        <v>0</v>
      </c>
      <c r="E81" s="240">
        <v>0</v>
      </c>
      <c r="F81" s="240">
        <v>0</v>
      </c>
      <c r="G81" s="240">
        <v>0</v>
      </c>
      <c r="H81" s="240">
        <v>0</v>
      </c>
      <c r="I81" s="240">
        <v>0</v>
      </c>
      <c r="J81" s="241">
        <v>0</v>
      </c>
      <c r="K81" s="241">
        <v>0</v>
      </c>
      <c r="L81" s="240">
        <v>0</v>
      </c>
      <c r="M81" s="240">
        <v>0</v>
      </c>
      <c r="N81" s="240">
        <v>0</v>
      </c>
      <c r="O81" s="241">
        <v>0</v>
      </c>
      <c r="P81" s="241">
        <v>0</v>
      </c>
      <c r="Q81" s="240">
        <v>0</v>
      </c>
      <c r="R81" s="241">
        <v>0</v>
      </c>
      <c r="S81" s="241">
        <v>0</v>
      </c>
      <c r="T81" s="241">
        <v>0</v>
      </c>
      <c r="U81" s="241">
        <v>0</v>
      </c>
      <c r="V81" s="247"/>
    </row>
    <row r="82" spans="1:22">
      <c r="A82" s="242"/>
      <c r="B82" s="243" t="s">
        <v>810</v>
      </c>
      <c r="C82" s="244">
        <v>0</v>
      </c>
      <c r="D82" s="245">
        <v>0</v>
      </c>
      <c r="E82" s="245">
        <v>0</v>
      </c>
      <c r="F82" s="245">
        <v>0</v>
      </c>
      <c r="G82" s="245">
        <v>0</v>
      </c>
      <c r="H82" s="245">
        <v>0</v>
      </c>
      <c r="I82" s="245">
        <v>0</v>
      </c>
      <c r="J82" s="246">
        <v>0</v>
      </c>
      <c r="K82" s="246">
        <v>0</v>
      </c>
      <c r="L82" s="245">
        <v>0</v>
      </c>
      <c r="M82" s="245">
        <v>0</v>
      </c>
      <c r="N82" s="245">
        <v>0</v>
      </c>
      <c r="O82" s="246">
        <v>0</v>
      </c>
      <c r="P82" s="246">
        <v>0</v>
      </c>
      <c r="Q82" s="245">
        <v>0</v>
      </c>
      <c r="R82" s="246">
        <v>0</v>
      </c>
      <c r="S82" s="246">
        <v>0</v>
      </c>
      <c r="T82" s="246">
        <v>0</v>
      </c>
      <c r="U82" s="246">
        <v>0</v>
      </c>
      <c r="V82" s="247"/>
    </row>
    <row r="83" spans="1:22">
      <c r="A83" s="242"/>
      <c r="B83" s="248" t="s">
        <v>811</v>
      </c>
      <c r="C83" s="249">
        <v>0</v>
      </c>
      <c r="D83" s="250">
        <v>0</v>
      </c>
      <c r="E83" s="250">
        <v>0</v>
      </c>
      <c r="F83" s="250">
        <v>0</v>
      </c>
      <c r="G83" s="250">
        <v>0</v>
      </c>
      <c r="H83" s="250">
        <v>0</v>
      </c>
      <c r="I83" s="250">
        <v>0</v>
      </c>
      <c r="J83" s="253">
        <v>0</v>
      </c>
      <c r="K83" s="253">
        <v>0</v>
      </c>
      <c r="L83" s="250">
        <v>0</v>
      </c>
      <c r="M83" s="250">
        <v>0</v>
      </c>
      <c r="N83" s="250">
        <v>0</v>
      </c>
      <c r="O83" s="253">
        <v>0</v>
      </c>
      <c r="P83" s="253">
        <v>0</v>
      </c>
      <c r="Q83" s="250">
        <v>0</v>
      </c>
      <c r="R83" s="253">
        <v>0</v>
      </c>
      <c r="S83" s="253">
        <v>0</v>
      </c>
      <c r="T83" s="253">
        <v>0</v>
      </c>
      <c r="U83" s="253">
        <v>0</v>
      </c>
      <c r="V83" s="247"/>
    </row>
    <row r="84" spans="1:22">
      <c r="A84" s="242"/>
      <c r="B84" s="219" t="s">
        <v>812</v>
      </c>
      <c r="C84" s="239">
        <v>3.4079896443355344E-2</v>
      </c>
      <c r="D84" s="240">
        <v>0</v>
      </c>
      <c r="E84" s="240">
        <v>4.0394713159974643E-2</v>
      </c>
      <c r="F84" s="240">
        <v>0</v>
      </c>
      <c r="G84" s="240">
        <v>0</v>
      </c>
      <c r="H84" s="240">
        <v>0</v>
      </c>
      <c r="I84" s="240">
        <v>0</v>
      </c>
      <c r="J84" s="241">
        <v>3.5223493099143043E-2</v>
      </c>
      <c r="K84" s="241">
        <v>0</v>
      </c>
      <c r="L84" s="240">
        <v>0</v>
      </c>
      <c r="M84" s="240">
        <v>0.1351061556127901</v>
      </c>
      <c r="N84" s="240">
        <v>0</v>
      </c>
      <c r="O84" s="241">
        <v>0.1351061556127901</v>
      </c>
      <c r="P84" s="241">
        <v>0</v>
      </c>
      <c r="Q84" s="240">
        <v>0</v>
      </c>
      <c r="R84" s="241">
        <v>0</v>
      </c>
      <c r="S84" s="241">
        <v>0</v>
      </c>
      <c r="T84" s="241">
        <v>0</v>
      </c>
      <c r="U84" s="241">
        <v>6.3310970628322069E-2</v>
      </c>
      <c r="V84" s="247"/>
    </row>
    <row r="85" spans="1:22">
      <c r="A85" s="242"/>
      <c r="B85" s="243" t="s">
        <v>813</v>
      </c>
      <c r="C85" s="244">
        <v>3.6009248950929176E-2</v>
      </c>
      <c r="D85" s="245">
        <v>0</v>
      </c>
      <c r="E85" s="245">
        <v>5.1986499125696396E-2</v>
      </c>
      <c r="F85" s="245">
        <v>0</v>
      </c>
      <c r="G85" s="245">
        <v>0</v>
      </c>
      <c r="H85" s="245">
        <v>0</v>
      </c>
      <c r="I85" s="245">
        <v>0</v>
      </c>
      <c r="J85" s="246">
        <v>3.8788633357149424E-2</v>
      </c>
      <c r="K85" s="246">
        <v>0</v>
      </c>
      <c r="L85" s="245">
        <v>0</v>
      </c>
      <c r="M85" s="245">
        <v>0.16020477637928277</v>
      </c>
      <c r="N85" s="245">
        <v>0</v>
      </c>
      <c r="O85" s="246">
        <v>0.16020477637928277</v>
      </c>
      <c r="P85" s="246">
        <v>0</v>
      </c>
      <c r="Q85" s="245">
        <v>0</v>
      </c>
      <c r="R85" s="246">
        <v>0</v>
      </c>
      <c r="S85" s="246">
        <v>0</v>
      </c>
      <c r="T85" s="246">
        <v>0</v>
      </c>
      <c r="U85" s="246">
        <v>7.2239659035697526E-2</v>
      </c>
      <c r="V85" s="247"/>
    </row>
    <row r="86" spans="1:22">
      <c r="A86" s="242"/>
      <c r="B86" s="248" t="s">
        <v>814</v>
      </c>
      <c r="C86" s="249">
        <v>0.19293525075738324</v>
      </c>
      <c r="D86" s="250">
        <v>0</v>
      </c>
      <c r="E86" s="250">
        <v>1.1591785965721753</v>
      </c>
      <c r="F86" s="250">
        <v>0</v>
      </c>
      <c r="G86" s="250">
        <v>0</v>
      </c>
      <c r="H86" s="250">
        <v>0</v>
      </c>
      <c r="I86" s="250">
        <v>0</v>
      </c>
      <c r="J86" s="253">
        <v>0.35651402580063818</v>
      </c>
      <c r="K86" s="253">
        <v>0</v>
      </c>
      <c r="L86" s="250">
        <v>0</v>
      </c>
      <c r="M86" s="250">
        <v>2.5098620766492665</v>
      </c>
      <c r="N86" s="250">
        <v>0</v>
      </c>
      <c r="O86" s="253">
        <v>2.5098620766492665</v>
      </c>
      <c r="P86" s="253">
        <v>0</v>
      </c>
      <c r="Q86" s="250">
        <v>0</v>
      </c>
      <c r="R86" s="253">
        <v>0</v>
      </c>
      <c r="S86" s="253">
        <v>0</v>
      </c>
      <c r="T86" s="253">
        <v>0</v>
      </c>
      <c r="U86" s="253">
        <v>0.89286884073754569</v>
      </c>
      <c r="V86" s="247"/>
    </row>
    <row r="87" spans="1:22">
      <c r="A87" s="242"/>
      <c r="B87" s="219" t="s">
        <v>815</v>
      </c>
      <c r="C87" s="239">
        <v>0</v>
      </c>
      <c r="D87" s="240">
        <v>0</v>
      </c>
      <c r="E87" s="240">
        <v>0</v>
      </c>
      <c r="F87" s="240">
        <v>0</v>
      </c>
      <c r="G87" s="240">
        <v>0</v>
      </c>
      <c r="H87" s="240">
        <v>0</v>
      </c>
      <c r="I87" s="240">
        <v>0</v>
      </c>
      <c r="J87" s="241">
        <v>0</v>
      </c>
      <c r="K87" s="241">
        <v>0</v>
      </c>
      <c r="L87" s="240">
        <v>0</v>
      </c>
      <c r="M87" s="240">
        <v>3.5101446440409046E-3</v>
      </c>
      <c r="N87" s="240">
        <v>0</v>
      </c>
      <c r="O87" s="241">
        <v>3.5101446440409046E-3</v>
      </c>
      <c r="P87" s="241">
        <v>0</v>
      </c>
      <c r="Q87" s="240">
        <v>0</v>
      </c>
      <c r="R87" s="241">
        <v>0</v>
      </c>
      <c r="S87" s="241">
        <v>0</v>
      </c>
      <c r="T87" s="241">
        <v>0</v>
      </c>
      <c r="U87" s="241">
        <v>9.8706929043062305E-4</v>
      </c>
      <c r="V87" s="247"/>
    </row>
    <row r="88" spans="1:22">
      <c r="A88" s="242"/>
      <c r="B88" s="243" t="s">
        <v>816</v>
      </c>
      <c r="C88" s="244">
        <v>0</v>
      </c>
      <c r="D88" s="245">
        <v>0</v>
      </c>
      <c r="E88" s="245">
        <v>0</v>
      </c>
      <c r="F88" s="245">
        <v>0</v>
      </c>
      <c r="G88" s="245">
        <v>0</v>
      </c>
      <c r="H88" s="245">
        <v>0</v>
      </c>
      <c r="I88" s="245">
        <v>0</v>
      </c>
      <c r="J88" s="246">
        <v>0</v>
      </c>
      <c r="K88" s="246">
        <v>0</v>
      </c>
      <c r="L88" s="245">
        <v>0</v>
      </c>
      <c r="M88" s="245">
        <v>3.2628794446035994E-3</v>
      </c>
      <c r="N88" s="245">
        <v>0</v>
      </c>
      <c r="O88" s="246">
        <v>3.2628794446035994E-3</v>
      </c>
      <c r="P88" s="246">
        <v>0</v>
      </c>
      <c r="Q88" s="245">
        <v>0</v>
      </c>
      <c r="R88" s="246">
        <v>0</v>
      </c>
      <c r="S88" s="246">
        <v>0</v>
      </c>
      <c r="T88" s="246">
        <v>0</v>
      </c>
      <c r="U88" s="246">
        <v>8.9894688935675585E-4</v>
      </c>
      <c r="V88" s="247"/>
    </row>
    <row r="89" spans="1:22">
      <c r="A89" s="242"/>
      <c r="B89" s="248" t="s">
        <v>817</v>
      </c>
      <c r="C89" s="249">
        <v>0</v>
      </c>
      <c r="D89" s="250">
        <v>0</v>
      </c>
      <c r="E89" s="250">
        <v>0</v>
      </c>
      <c r="F89" s="250">
        <v>0</v>
      </c>
      <c r="G89" s="250">
        <v>0</v>
      </c>
      <c r="H89" s="250">
        <v>0</v>
      </c>
      <c r="I89" s="250">
        <v>0</v>
      </c>
      <c r="J89" s="253">
        <v>0</v>
      </c>
      <c r="K89" s="253">
        <v>0</v>
      </c>
      <c r="L89" s="250">
        <v>0</v>
      </c>
      <c r="M89" s="250">
        <v>-2.472651994373052E-2</v>
      </c>
      <c r="N89" s="250">
        <v>0</v>
      </c>
      <c r="O89" s="253">
        <v>-2.472651994373052E-2</v>
      </c>
      <c r="P89" s="253">
        <v>0</v>
      </c>
      <c r="Q89" s="250">
        <v>0</v>
      </c>
      <c r="R89" s="253">
        <v>0</v>
      </c>
      <c r="S89" s="253">
        <v>0</v>
      </c>
      <c r="T89" s="253">
        <v>0</v>
      </c>
      <c r="U89" s="253">
        <v>-8.81224010738672E-3</v>
      </c>
      <c r="V89" s="247"/>
    </row>
    <row r="90" spans="1:22">
      <c r="A90" s="242"/>
      <c r="B90" s="219" t="s">
        <v>818</v>
      </c>
      <c r="C90" s="239">
        <v>0</v>
      </c>
      <c r="D90" s="240">
        <v>0</v>
      </c>
      <c r="E90" s="240">
        <v>0</v>
      </c>
      <c r="F90" s="240">
        <v>0</v>
      </c>
      <c r="G90" s="240">
        <v>0</v>
      </c>
      <c r="H90" s="240">
        <v>0</v>
      </c>
      <c r="I90" s="240">
        <v>0</v>
      </c>
      <c r="J90" s="241">
        <v>0</v>
      </c>
      <c r="K90" s="241">
        <v>0</v>
      </c>
      <c r="L90" s="240">
        <v>0</v>
      </c>
      <c r="M90" s="240">
        <v>8.2591638683315405E-4</v>
      </c>
      <c r="N90" s="240">
        <v>0</v>
      </c>
      <c r="O90" s="241">
        <v>8.2591638683315405E-4</v>
      </c>
      <c r="P90" s="241">
        <v>0</v>
      </c>
      <c r="Q90" s="240">
        <v>0</v>
      </c>
      <c r="R90" s="241">
        <v>0</v>
      </c>
      <c r="S90" s="241">
        <v>0</v>
      </c>
      <c r="T90" s="241">
        <v>0</v>
      </c>
      <c r="U90" s="241">
        <v>2.3225159774838188E-4</v>
      </c>
      <c r="V90" s="247"/>
    </row>
    <row r="91" spans="1:22">
      <c r="A91" s="242"/>
      <c r="B91" s="243" t="s">
        <v>819</v>
      </c>
      <c r="C91" s="244">
        <v>0</v>
      </c>
      <c r="D91" s="245">
        <v>0</v>
      </c>
      <c r="E91" s="245">
        <v>0</v>
      </c>
      <c r="F91" s="245">
        <v>0</v>
      </c>
      <c r="G91" s="245">
        <v>0</v>
      </c>
      <c r="H91" s="245">
        <v>0</v>
      </c>
      <c r="I91" s="245">
        <v>0</v>
      </c>
      <c r="J91" s="246">
        <v>0</v>
      </c>
      <c r="K91" s="246">
        <v>0</v>
      </c>
      <c r="L91" s="245">
        <v>0</v>
      </c>
      <c r="M91" s="245">
        <v>1.9681450697779978E-3</v>
      </c>
      <c r="N91" s="245">
        <v>0</v>
      </c>
      <c r="O91" s="246">
        <v>1.9681450697779978E-3</v>
      </c>
      <c r="P91" s="246">
        <v>0</v>
      </c>
      <c r="Q91" s="245">
        <v>0</v>
      </c>
      <c r="R91" s="246">
        <v>0</v>
      </c>
      <c r="S91" s="246">
        <v>0</v>
      </c>
      <c r="T91" s="246">
        <v>0</v>
      </c>
      <c r="U91" s="246">
        <v>5.4223820350025528E-4</v>
      </c>
      <c r="V91" s="247"/>
    </row>
    <row r="92" spans="1:22">
      <c r="A92" s="242"/>
      <c r="B92" s="248" t="s">
        <v>820</v>
      </c>
      <c r="C92" s="249">
        <v>0</v>
      </c>
      <c r="D92" s="250">
        <v>0</v>
      </c>
      <c r="E92" s="250">
        <v>0</v>
      </c>
      <c r="F92" s="250">
        <v>0</v>
      </c>
      <c r="G92" s="250">
        <v>0</v>
      </c>
      <c r="H92" s="250">
        <v>0</v>
      </c>
      <c r="I92" s="250">
        <v>0</v>
      </c>
      <c r="J92" s="253">
        <v>0</v>
      </c>
      <c r="K92" s="253">
        <v>0</v>
      </c>
      <c r="L92" s="250">
        <v>0</v>
      </c>
      <c r="M92" s="250">
        <v>0.11422286829448439</v>
      </c>
      <c r="N92" s="250">
        <v>0</v>
      </c>
      <c r="O92" s="253">
        <v>0.11422286829448439</v>
      </c>
      <c r="P92" s="253">
        <v>0</v>
      </c>
      <c r="Q92" s="250">
        <v>0</v>
      </c>
      <c r="R92" s="253">
        <v>0</v>
      </c>
      <c r="S92" s="253">
        <v>0</v>
      </c>
      <c r="T92" s="253">
        <v>0</v>
      </c>
      <c r="U92" s="253">
        <v>3.099866057518734E-2</v>
      </c>
      <c r="V92" s="247"/>
    </row>
    <row r="93" spans="1:22">
      <c r="A93" s="242"/>
      <c r="B93" s="219" t="s">
        <v>821</v>
      </c>
      <c r="C93" s="239">
        <v>0</v>
      </c>
      <c r="D93" s="240">
        <v>0</v>
      </c>
      <c r="E93" s="240">
        <v>0</v>
      </c>
      <c r="F93" s="240">
        <v>0</v>
      </c>
      <c r="G93" s="240">
        <v>0</v>
      </c>
      <c r="H93" s="240">
        <v>0</v>
      </c>
      <c r="I93" s="240">
        <v>0</v>
      </c>
      <c r="J93" s="241">
        <v>0</v>
      </c>
      <c r="K93" s="241">
        <v>0</v>
      </c>
      <c r="L93" s="240">
        <v>0</v>
      </c>
      <c r="M93" s="240">
        <v>0</v>
      </c>
      <c r="N93" s="240">
        <v>0</v>
      </c>
      <c r="O93" s="241">
        <v>0</v>
      </c>
      <c r="P93" s="241">
        <v>0</v>
      </c>
      <c r="Q93" s="240">
        <v>0</v>
      </c>
      <c r="R93" s="241">
        <v>0</v>
      </c>
      <c r="S93" s="241">
        <v>0</v>
      </c>
      <c r="T93" s="241">
        <v>0</v>
      </c>
      <c r="U93" s="241">
        <v>0</v>
      </c>
      <c r="V93" s="247"/>
    </row>
    <row r="94" spans="1:22">
      <c r="A94" s="242"/>
      <c r="B94" s="243" t="s">
        <v>822</v>
      </c>
      <c r="C94" s="244">
        <v>0</v>
      </c>
      <c r="D94" s="245">
        <v>0</v>
      </c>
      <c r="E94" s="245">
        <v>0</v>
      </c>
      <c r="F94" s="245">
        <v>0</v>
      </c>
      <c r="G94" s="245">
        <v>0</v>
      </c>
      <c r="H94" s="245">
        <v>0</v>
      </c>
      <c r="I94" s="245">
        <v>0</v>
      </c>
      <c r="J94" s="246">
        <v>0</v>
      </c>
      <c r="K94" s="246">
        <v>0</v>
      </c>
      <c r="L94" s="245">
        <v>0</v>
      </c>
      <c r="M94" s="245">
        <v>0</v>
      </c>
      <c r="N94" s="245">
        <v>0</v>
      </c>
      <c r="O94" s="246">
        <v>0</v>
      </c>
      <c r="P94" s="246">
        <v>0</v>
      </c>
      <c r="Q94" s="245">
        <v>0</v>
      </c>
      <c r="R94" s="246">
        <v>0</v>
      </c>
      <c r="S94" s="246">
        <v>0</v>
      </c>
      <c r="T94" s="246">
        <v>0</v>
      </c>
      <c r="U94" s="246">
        <v>0</v>
      </c>
      <c r="V94" s="247"/>
    </row>
    <row r="95" spans="1:22" ht="15.75" thickBot="1">
      <c r="A95" s="242"/>
      <c r="B95" s="257" t="s">
        <v>823</v>
      </c>
      <c r="C95" s="258">
        <v>0</v>
      </c>
      <c r="D95" s="259">
        <v>0</v>
      </c>
      <c r="E95" s="259">
        <v>0</v>
      </c>
      <c r="F95" s="259">
        <v>0</v>
      </c>
      <c r="G95" s="259">
        <v>0</v>
      </c>
      <c r="H95" s="259">
        <v>0</v>
      </c>
      <c r="I95" s="259">
        <v>0</v>
      </c>
      <c r="J95" s="260">
        <v>0</v>
      </c>
      <c r="K95" s="260">
        <v>0</v>
      </c>
      <c r="L95" s="259">
        <v>0</v>
      </c>
      <c r="M95" s="259">
        <v>0</v>
      </c>
      <c r="N95" s="259">
        <v>0</v>
      </c>
      <c r="O95" s="260">
        <v>0</v>
      </c>
      <c r="P95" s="260">
        <v>0</v>
      </c>
      <c r="Q95" s="259">
        <v>0</v>
      </c>
      <c r="R95" s="260">
        <v>0</v>
      </c>
      <c r="S95" s="260">
        <v>0</v>
      </c>
      <c r="T95" s="260">
        <v>0</v>
      </c>
      <c r="U95" s="260">
        <v>0</v>
      </c>
      <c r="V95" s="247"/>
    </row>
    <row r="96" spans="1:22" ht="15.75" thickTop="1">
      <c r="A96" s="242"/>
      <c r="B96" s="243" t="s">
        <v>824</v>
      </c>
      <c r="C96" s="244">
        <v>0.90239859089260732</v>
      </c>
      <c r="D96" s="245">
        <v>0</v>
      </c>
      <c r="E96" s="245">
        <v>0.94630654083957044</v>
      </c>
      <c r="F96" s="245">
        <v>0</v>
      </c>
      <c r="G96" s="245">
        <v>0</v>
      </c>
      <c r="H96" s="245">
        <v>0</v>
      </c>
      <c r="I96" s="245">
        <v>0</v>
      </c>
      <c r="J96" s="246">
        <v>0.90661150573725702</v>
      </c>
      <c r="K96" s="246">
        <v>0</v>
      </c>
      <c r="L96" s="245">
        <v>0</v>
      </c>
      <c r="M96" s="245">
        <v>0</v>
      </c>
      <c r="N96" s="245">
        <v>0</v>
      </c>
      <c r="O96" s="246">
        <v>0</v>
      </c>
      <c r="P96" s="246">
        <v>0</v>
      </c>
      <c r="Q96" s="245">
        <v>0</v>
      </c>
      <c r="R96" s="246">
        <v>0</v>
      </c>
      <c r="S96" s="246">
        <v>0</v>
      </c>
      <c r="T96" s="246">
        <v>0</v>
      </c>
      <c r="U96" s="246">
        <v>0.90661150573725702</v>
      </c>
      <c r="V96" s="247"/>
    </row>
    <row r="97" spans="1:22">
      <c r="A97" s="242"/>
      <c r="B97" s="243" t="s">
        <v>825</v>
      </c>
      <c r="C97" s="244">
        <v>0.88135487977149596</v>
      </c>
      <c r="D97" s="245">
        <v>0</v>
      </c>
      <c r="E97" s="245">
        <v>0.89547038327526129</v>
      </c>
      <c r="F97" s="245">
        <v>0</v>
      </c>
      <c r="G97" s="245">
        <v>0</v>
      </c>
      <c r="H97" s="245">
        <v>0</v>
      </c>
      <c r="I97" s="245">
        <v>0</v>
      </c>
      <c r="J97" s="246">
        <v>0.88245649187084951</v>
      </c>
      <c r="K97" s="246">
        <v>0</v>
      </c>
      <c r="L97" s="245">
        <v>0</v>
      </c>
      <c r="M97" s="245">
        <v>0</v>
      </c>
      <c r="N97" s="245">
        <v>0</v>
      </c>
      <c r="O97" s="246">
        <v>0</v>
      </c>
      <c r="P97" s="246">
        <v>0</v>
      </c>
      <c r="Q97" s="245">
        <v>0</v>
      </c>
      <c r="R97" s="246">
        <v>0</v>
      </c>
      <c r="S97" s="246">
        <v>0</v>
      </c>
      <c r="T97" s="246">
        <v>0</v>
      </c>
      <c r="U97" s="246">
        <v>0.88245649187084951</v>
      </c>
      <c r="V97" s="247"/>
    </row>
    <row r="98" spans="1:22">
      <c r="A98" s="242"/>
      <c r="B98" s="248" t="s">
        <v>826</v>
      </c>
      <c r="C98" s="249">
        <v>-2.1043711121111364</v>
      </c>
      <c r="D98" s="250">
        <v>0</v>
      </c>
      <c r="E98" s="250">
        <v>-5.0836157564309143</v>
      </c>
      <c r="F98" s="250">
        <v>0</v>
      </c>
      <c r="G98" s="250">
        <v>0</v>
      </c>
      <c r="H98" s="250">
        <v>0</v>
      </c>
      <c r="I98" s="250">
        <v>0</v>
      </c>
      <c r="J98" s="253">
        <v>-2.4155013866407504</v>
      </c>
      <c r="K98" s="253">
        <v>0</v>
      </c>
      <c r="L98" s="250">
        <v>0</v>
      </c>
      <c r="M98" s="250">
        <v>0</v>
      </c>
      <c r="N98" s="250">
        <v>0</v>
      </c>
      <c r="O98" s="253">
        <v>0</v>
      </c>
      <c r="P98" s="253">
        <v>0</v>
      </c>
      <c r="Q98" s="250">
        <v>0</v>
      </c>
      <c r="R98" s="253">
        <v>0</v>
      </c>
      <c r="S98" s="253">
        <v>0</v>
      </c>
      <c r="T98" s="253">
        <v>0</v>
      </c>
      <c r="U98" s="253">
        <v>-2.4155013866407504</v>
      </c>
      <c r="V98" s="247"/>
    </row>
    <row r="99" spans="1:22">
      <c r="A99" s="242"/>
      <c r="B99" s="219" t="s">
        <v>827</v>
      </c>
      <c r="C99" s="239">
        <v>0</v>
      </c>
      <c r="D99" s="240">
        <v>0</v>
      </c>
      <c r="E99" s="240">
        <v>0</v>
      </c>
      <c r="F99" s="240">
        <v>0</v>
      </c>
      <c r="G99" s="240">
        <v>0</v>
      </c>
      <c r="H99" s="240">
        <v>0</v>
      </c>
      <c r="I99" s="240">
        <v>0</v>
      </c>
      <c r="J99" s="241">
        <v>0</v>
      </c>
      <c r="K99" s="241">
        <v>0</v>
      </c>
      <c r="L99" s="240">
        <v>0</v>
      </c>
      <c r="M99" s="240">
        <v>0</v>
      </c>
      <c r="N99" s="240">
        <v>0</v>
      </c>
      <c r="O99" s="241">
        <v>0</v>
      </c>
      <c r="P99" s="241">
        <v>0</v>
      </c>
      <c r="Q99" s="240">
        <v>0</v>
      </c>
      <c r="R99" s="241">
        <v>0</v>
      </c>
      <c r="S99" s="241">
        <v>0</v>
      </c>
      <c r="T99" s="241">
        <v>0</v>
      </c>
      <c r="U99" s="241">
        <v>0</v>
      </c>
      <c r="V99" s="247"/>
    </row>
    <row r="100" spans="1:22">
      <c r="A100" s="242"/>
      <c r="B100" s="243" t="s">
        <v>828</v>
      </c>
      <c r="C100" s="244">
        <v>0</v>
      </c>
      <c r="D100" s="245">
        <v>0</v>
      </c>
      <c r="E100" s="245">
        <v>0</v>
      </c>
      <c r="F100" s="245">
        <v>0</v>
      </c>
      <c r="G100" s="245">
        <v>0</v>
      </c>
      <c r="H100" s="245">
        <v>0</v>
      </c>
      <c r="I100" s="245">
        <v>0</v>
      </c>
      <c r="J100" s="246">
        <v>0</v>
      </c>
      <c r="K100" s="246">
        <v>0</v>
      </c>
      <c r="L100" s="245">
        <v>0</v>
      </c>
      <c r="M100" s="245">
        <v>0</v>
      </c>
      <c r="N100" s="245">
        <v>0</v>
      </c>
      <c r="O100" s="246">
        <v>0</v>
      </c>
      <c r="P100" s="246">
        <v>0</v>
      </c>
      <c r="Q100" s="245">
        <v>0</v>
      </c>
      <c r="R100" s="246">
        <v>0</v>
      </c>
      <c r="S100" s="246">
        <v>0</v>
      </c>
      <c r="T100" s="246">
        <v>0</v>
      </c>
      <c r="U100" s="246">
        <v>0</v>
      </c>
      <c r="V100" s="247"/>
    </row>
    <row r="101" spans="1:22">
      <c r="A101" s="242"/>
      <c r="B101" s="248" t="s">
        <v>829</v>
      </c>
      <c r="C101" s="249">
        <v>0</v>
      </c>
      <c r="D101" s="250">
        <v>0</v>
      </c>
      <c r="E101" s="250">
        <v>0</v>
      </c>
      <c r="F101" s="250">
        <v>0</v>
      </c>
      <c r="G101" s="250">
        <v>0</v>
      </c>
      <c r="H101" s="250">
        <v>0</v>
      </c>
      <c r="I101" s="250">
        <v>0</v>
      </c>
      <c r="J101" s="253">
        <v>0</v>
      </c>
      <c r="K101" s="253">
        <v>0</v>
      </c>
      <c r="L101" s="250">
        <v>0</v>
      </c>
      <c r="M101" s="250">
        <v>0</v>
      </c>
      <c r="N101" s="250">
        <v>0</v>
      </c>
      <c r="O101" s="253">
        <v>0</v>
      </c>
      <c r="P101" s="253">
        <v>0</v>
      </c>
      <c r="Q101" s="250">
        <v>0</v>
      </c>
      <c r="R101" s="253">
        <v>0</v>
      </c>
      <c r="S101" s="253">
        <v>0</v>
      </c>
      <c r="T101" s="253">
        <v>0</v>
      </c>
      <c r="U101" s="253">
        <v>0</v>
      </c>
      <c r="V101" s="247"/>
    </row>
    <row r="102" spans="1:22">
      <c r="A102" s="242"/>
      <c r="B102" s="219" t="s">
        <v>830</v>
      </c>
      <c r="C102" s="239">
        <v>9.7601409107392637E-2</v>
      </c>
      <c r="D102" s="240">
        <v>0</v>
      </c>
      <c r="E102" s="240">
        <v>5.3693459160429551E-2</v>
      </c>
      <c r="F102" s="240">
        <v>0</v>
      </c>
      <c r="G102" s="240">
        <v>0</v>
      </c>
      <c r="H102" s="240">
        <v>0</v>
      </c>
      <c r="I102" s="240">
        <v>0</v>
      </c>
      <c r="J102" s="241">
        <v>9.3388494262742955E-2</v>
      </c>
      <c r="K102" s="241">
        <v>0</v>
      </c>
      <c r="L102" s="240">
        <v>0</v>
      </c>
      <c r="M102" s="240">
        <v>0</v>
      </c>
      <c r="N102" s="240">
        <v>0</v>
      </c>
      <c r="O102" s="241">
        <v>0</v>
      </c>
      <c r="P102" s="241">
        <v>0</v>
      </c>
      <c r="Q102" s="240">
        <v>0</v>
      </c>
      <c r="R102" s="241">
        <v>0</v>
      </c>
      <c r="S102" s="241">
        <v>0</v>
      </c>
      <c r="T102" s="241">
        <v>0</v>
      </c>
      <c r="U102" s="241">
        <v>9.3388494262742955E-2</v>
      </c>
      <c r="V102" s="247"/>
    </row>
    <row r="103" spans="1:22">
      <c r="A103" s="242"/>
      <c r="B103" s="243" t="s">
        <v>831</v>
      </c>
      <c r="C103" s="244">
        <v>0.11864512022850401</v>
      </c>
      <c r="D103" s="245">
        <v>0</v>
      </c>
      <c r="E103" s="245">
        <v>0.10452961672473868</v>
      </c>
      <c r="F103" s="245">
        <v>0</v>
      </c>
      <c r="G103" s="245">
        <v>0</v>
      </c>
      <c r="H103" s="245">
        <v>0</v>
      </c>
      <c r="I103" s="245">
        <v>0</v>
      </c>
      <c r="J103" s="246">
        <v>0.11754350812915045</v>
      </c>
      <c r="K103" s="246">
        <v>0</v>
      </c>
      <c r="L103" s="245">
        <v>0</v>
      </c>
      <c r="M103" s="245">
        <v>0</v>
      </c>
      <c r="N103" s="245">
        <v>0</v>
      </c>
      <c r="O103" s="246">
        <v>0</v>
      </c>
      <c r="P103" s="246">
        <v>0</v>
      </c>
      <c r="Q103" s="245">
        <v>0</v>
      </c>
      <c r="R103" s="246">
        <v>0</v>
      </c>
      <c r="S103" s="246">
        <v>0</v>
      </c>
      <c r="T103" s="246">
        <v>0</v>
      </c>
      <c r="U103" s="246">
        <v>0.11754350812915045</v>
      </c>
      <c r="V103" s="247"/>
    </row>
    <row r="104" spans="1:22">
      <c r="A104" s="242"/>
      <c r="B104" s="248" t="s">
        <v>832</v>
      </c>
      <c r="C104" s="249">
        <v>2.1043711121111377</v>
      </c>
      <c r="D104" s="250">
        <v>0</v>
      </c>
      <c r="E104" s="250">
        <v>5.0836157564309126</v>
      </c>
      <c r="F104" s="250">
        <v>0</v>
      </c>
      <c r="G104" s="250">
        <v>0</v>
      </c>
      <c r="H104" s="250">
        <v>0</v>
      </c>
      <c r="I104" s="250">
        <v>0</v>
      </c>
      <c r="J104" s="253">
        <v>2.4155013866407491</v>
      </c>
      <c r="K104" s="253">
        <v>0</v>
      </c>
      <c r="L104" s="250">
        <v>0</v>
      </c>
      <c r="M104" s="250">
        <v>0</v>
      </c>
      <c r="N104" s="250">
        <v>0</v>
      </c>
      <c r="O104" s="253">
        <v>0</v>
      </c>
      <c r="P104" s="253">
        <v>0</v>
      </c>
      <c r="Q104" s="250">
        <v>0</v>
      </c>
      <c r="R104" s="253">
        <v>0</v>
      </c>
      <c r="S104" s="253">
        <v>0</v>
      </c>
      <c r="T104" s="253">
        <v>0</v>
      </c>
      <c r="U104" s="253">
        <v>2.4155013866407491</v>
      </c>
      <c r="V104" s="247"/>
    </row>
    <row r="105" spans="1:22">
      <c r="A105" s="242"/>
      <c r="B105" s="219" t="s">
        <v>833</v>
      </c>
      <c r="C105" s="239">
        <v>0</v>
      </c>
      <c r="D105" s="240">
        <v>0</v>
      </c>
      <c r="E105" s="240">
        <v>0</v>
      </c>
      <c r="F105" s="240">
        <v>0</v>
      </c>
      <c r="G105" s="240">
        <v>0</v>
      </c>
      <c r="H105" s="240">
        <v>0</v>
      </c>
      <c r="I105" s="240">
        <v>0</v>
      </c>
      <c r="J105" s="241">
        <v>0</v>
      </c>
      <c r="K105" s="241">
        <v>0</v>
      </c>
      <c r="L105" s="240">
        <v>0</v>
      </c>
      <c r="M105" s="240">
        <v>0</v>
      </c>
      <c r="N105" s="240">
        <v>0</v>
      </c>
      <c r="O105" s="241">
        <v>0</v>
      </c>
      <c r="P105" s="241">
        <v>0</v>
      </c>
      <c r="Q105" s="240">
        <v>0</v>
      </c>
      <c r="R105" s="241">
        <v>0</v>
      </c>
      <c r="S105" s="241">
        <v>0</v>
      </c>
      <c r="T105" s="241">
        <v>0</v>
      </c>
      <c r="U105" s="241">
        <v>0</v>
      </c>
      <c r="V105" s="247"/>
    </row>
    <row r="106" spans="1:22">
      <c r="A106" s="242"/>
      <c r="B106" s="243" t="s">
        <v>834</v>
      </c>
      <c r="C106" s="244">
        <v>0</v>
      </c>
      <c r="D106" s="245">
        <v>0</v>
      </c>
      <c r="E106" s="245">
        <v>0</v>
      </c>
      <c r="F106" s="245">
        <v>0</v>
      </c>
      <c r="G106" s="245">
        <v>0</v>
      </c>
      <c r="H106" s="245">
        <v>0</v>
      </c>
      <c r="I106" s="245">
        <v>0</v>
      </c>
      <c r="J106" s="246">
        <v>0</v>
      </c>
      <c r="K106" s="246">
        <v>0</v>
      </c>
      <c r="L106" s="245">
        <v>0</v>
      </c>
      <c r="M106" s="245">
        <v>0</v>
      </c>
      <c r="N106" s="245">
        <v>0</v>
      </c>
      <c r="O106" s="246">
        <v>0</v>
      </c>
      <c r="P106" s="246">
        <v>0</v>
      </c>
      <c r="Q106" s="245">
        <v>0</v>
      </c>
      <c r="R106" s="246">
        <v>0</v>
      </c>
      <c r="S106" s="246">
        <v>0</v>
      </c>
      <c r="T106" s="246">
        <v>0</v>
      </c>
      <c r="U106" s="246">
        <v>0</v>
      </c>
      <c r="V106" s="247"/>
    </row>
    <row r="107" spans="1:22">
      <c r="A107" s="242"/>
      <c r="B107" s="248" t="s">
        <v>835</v>
      </c>
      <c r="C107" s="249">
        <v>0</v>
      </c>
      <c r="D107" s="250">
        <v>0</v>
      </c>
      <c r="E107" s="250">
        <v>0</v>
      </c>
      <c r="F107" s="250">
        <v>0</v>
      </c>
      <c r="G107" s="250">
        <v>0</v>
      </c>
      <c r="H107" s="250">
        <v>0</v>
      </c>
      <c r="I107" s="250">
        <v>0</v>
      </c>
      <c r="J107" s="253">
        <v>0</v>
      </c>
      <c r="K107" s="253">
        <v>0</v>
      </c>
      <c r="L107" s="250">
        <v>0</v>
      </c>
      <c r="M107" s="250">
        <v>0</v>
      </c>
      <c r="N107" s="250">
        <v>0</v>
      </c>
      <c r="O107" s="253">
        <v>0</v>
      </c>
      <c r="P107" s="253">
        <v>0</v>
      </c>
      <c r="Q107" s="250">
        <v>0</v>
      </c>
      <c r="R107" s="253">
        <v>0</v>
      </c>
      <c r="S107" s="253">
        <v>0</v>
      </c>
      <c r="T107" s="253">
        <v>0</v>
      </c>
      <c r="U107" s="253">
        <v>0</v>
      </c>
      <c r="V107" s="247"/>
    </row>
    <row r="108" spans="1:22">
      <c r="A108" s="242"/>
      <c r="B108" s="219" t="s">
        <v>836</v>
      </c>
      <c r="C108" s="239">
        <v>0</v>
      </c>
      <c r="D108" s="240">
        <v>0</v>
      </c>
      <c r="E108" s="240">
        <v>0</v>
      </c>
      <c r="F108" s="240">
        <v>0</v>
      </c>
      <c r="G108" s="240">
        <v>0</v>
      </c>
      <c r="H108" s="240">
        <v>0</v>
      </c>
      <c r="I108" s="240">
        <v>0</v>
      </c>
      <c r="J108" s="241">
        <v>0</v>
      </c>
      <c r="K108" s="241">
        <v>0</v>
      </c>
      <c r="L108" s="240">
        <v>0</v>
      </c>
      <c r="M108" s="240">
        <v>0</v>
      </c>
      <c r="N108" s="240">
        <v>0</v>
      </c>
      <c r="O108" s="241">
        <v>0</v>
      </c>
      <c r="P108" s="241">
        <v>0</v>
      </c>
      <c r="Q108" s="240">
        <v>0</v>
      </c>
      <c r="R108" s="241">
        <v>0</v>
      </c>
      <c r="S108" s="241">
        <v>0</v>
      </c>
      <c r="T108" s="241">
        <v>0</v>
      </c>
      <c r="U108" s="241">
        <v>0</v>
      </c>
      <c r="V108" s="247"/>
    </row>
    <row r="109" spans="1:22">
      <c r="A109" s="242"/>
      <c r="B109" s="243" t="s">
        <v>837</v>
      </c>
      <c r="C109" s="244">
        <v>0</v>
      </c>
      <c r="D109" s="245">
        <v>0</v>
      </c>
      <c r="E109" s="245">
        <v>0</v>
      </c>
      <c r="F109" s="245">
        <v>0</v>
      </c>
      <c r="G109" s="245">
        <v>0</v>
      </c>
      <c r="H109" s="245">
        <v>0</v>
      </c>
      <c r="I109" s="245">
        <v>0</v>
      </c>
      <c r="J109" s="246">
        <v>0</v>
      </c>
      <c r="K109" s="246">
        <v>0</v>
      </c>
      <c r="L109" s="245">
        <v>0</v>
      </c>
      <c r="M109" s="245">
        <v>0</v>
      </c>
      <c r="N109" s="245">
        <v>0</v>
      </c>
      <c r="O109" s="246">
        <v>0</v>
      </c>
      <c r="P109" s="246">
        <v>0</v>
      </c>
      <c r="Q109" s="245">
        <v>0</v>
      </c>
      <c r="R109" s="246">
        <v>0</v>
      </c>
      <c r="S109" s="246">
        <v>0</v>
      </c>
      <c r="T109" s="246">
        <v>0</v>
      </c>
      <c r="U109" s="246">
        <v>0</v>
      </c>
      <c r="V109" s="247"/>
    </row>
    <row r="110" spans="1:22">
      <c r="A110" s="242"/>
      <c r="B110" s="248" t="s">
        <v>838</v>
      </c>
      <c r="C110" s="249">
        <v>0</v>
      </c>
      <c r="D110" s="250">
        <v>0</v>
      </c>
      <c r="E110" s="250">
        <v>0</v>
      </c>
      <c r="F110" s="250">
        <v>0</v>
      </c>
      <c r="G110" s="250">
        <v>0</v>
      </c>
      <c r="H110" s="250">
        <v>0</v>
      </c>
      <c r="I110" s="250">
        <v>0</v>
      </c>
      <c r="J110" s="253">
        <v>0</v>
      </c>
      <c r="K110" s="253">
        <v>0</v>
      </c>
      <c r="L110" s="250">
        <v>0</v>
      </c>
      <c r="M110" s="250">
        <v>0</v>
      </c>
      <c r="N110" s="250">
        <v>0</v>
      </c>
      <c r="O110" s="253">
        <v>0</v>
      </c>
      <c r="P110" s="253">
        <v>0</v>
      </c>
      <c r="Q110" s="250">
        <v>0</v>
      </c>
      <c r="R110" s="253">
        <v>0</v>
      </c>
      <c r="S110" s="253">
        <v>0</v>
      </c>
      <c r="T110" s="253">
        <v>0</v>
      </c>
      <c r="U110" s="253">
        <v>0</v>
      </c>
      <c r="V110" s="247"/>
    </row>
    <row r="111" spans="1:22">
      <c r="A111" s="242"/>
      <c r="B111" s="219" t="s">
        <v>839</v>
      </c>
      <c r="C111" s="239">
        <v>0</v>
      </c>
      <c r="D111" s="240">
        <v>0</v>
      </c>
      <c r="E111" s="240">
        <v>0</v>
      </c>
      <c r="F111" s="240">
        <v>0</v>
      </c>
      <c r="G111" s="240">
        <v>0</v>
      </c>
      <c r="H111" s="240">
        <v>0</v>
      </c>
      <c r="I111" s="240">
        <v>0</v>
      </c>
      <c r="J111" s="241">
        <v>0</v>
      </c>
      <c r="K111" s="241">
        <v>0</v>
      </c>
      <c r="L111" s="240">
        <v>0</v>
      </c>
      <c r="M111" s="240">
        <v>0</v>
      </c>
      <c r="N111" s="240">
        <v>0</v>
      </c>
      <c r="O111" s="241">
        <v>0</v>
      </c>
      <c r="P111" s="241">
        <v>0</v>
      </c>
      <c r="Q111" s="240">
        <v>0</v>
      </c>
      <c r="R111" s="241">
        <v>0</v>
      </c>
      <c r="S111" s="241">
        <v>0</v>
      </c>
      <c r="T111" s="241">
        <v>0</v>
      </c>
      <c r="U111" s="241">
        <v>0</v>
      </c>
      <c r="V111" s="247"/>
    </row>
    <row r="112" spans="1:22">
      <c r="A112" s="242"/>
      <c r="B112" s="243" t="s">
        <v>840</v>
      </c>
      <c r="C112" s="244">
        <v>0</v>
      </c>
      <c r="D112" s="245">
        <v>0</v>
      </c>
      <c r="E112" s="245">
        <v>0</v>
      </c>
      <c r="F112" s="245">
        <v>0</v>
      </c>
      <c r="G112" s="245">
        <v>0</v>
      </c>
      <c r="H112" s="245">
        <v>0</v>
      </c>
      <c r="I112" s="245">
        <v>0</v>
      </c>
      <c r="J112" s="246">
        <v>0</v>
      </c>
      <c r="K112" s="246">
        <v>0</v>
      </c>
      <c r="L112" s="245">
        <v>0</v>
      </c>
      <c r="M112" s="245">
        <v>0</v>
      </c>
      <c r="N112" s="245">
        <v>0</v>
      </c>
      <c r="O112" s="246">
        <v>0</v>
      </c>
      <c r="P112" s="246">
        <v>0</v>
      </c>
      <c r="Q112" s="245">
        <v>0</v>
      </c>
      <c r="R112" s="246">
        <v>0</v>
      </c>
      <c r="S112" s="246">
        <v>0</v>
      </c>
      <c r="T112" s="246">
        <v>0</v>
      </c>
      <c r="U112" s="246">
        <v>0</v>
      </c>
      <c r="V112" s="247"/>
    </row>
    <row r="113" spans="1:22" ht="15.75" thickBot="1">
      <c r="A113" s="261"/>
      <c r="B113" s="262" t="s">
        <v>841</v>
      </c>
      <c r="C113" s="263">
        <v>0</v>
      </c>
      <c r="D113" s="264">
        <v>0</v>
      </c>
      <c r="E113" s="264">
        <v>0</v>
      </c>
      <c r="F113" s="264">
        <v>0</v>
      </c>
      <c r="G113" s="264">
        <v>0</v>
      </c>
      <c r="H113" s="264">
        <v>0</v>
      </c>
      <c r="I113" s="264">
        <v>0</v>
      </c>
      <c r="J113" s="265">
        <v>0</v>
      </c>
      <c r="K113" s="265">
        <v>0</v>
      </c>
      <c r="L113" s="264">
        <v>0</v>
      </c>
      <c r="M113" s="264">
        <v>0</v>
      </c>
      <c r="N113" s="264">
        <v>0</v>
      </c>
      <c r="O113" s="265">
        <v>0</v>
      </c>
      <c r="P113" s="265">
        <v>0</v>
      </c>
      <c r="Q113" s="264">
        <v>0</v>
      </c>
      <c r="R113" s="265">
        <v>0</v>
      </c>
      <c r="S113" s="265">
        <v>0</v>
      </c>
      <c r="T113" s="265">
        <v>0</v>
      </c>
      <c r="U113" s="265">
        <v>0</v>
      </c>
      <c r="V113" s="247"/>
    </row>
    <row r="114" spans="1:22">
      <c r="A114" s="238" t="s">
        <v>148</v>
      </c>
      <c r="B114" s="219" t="s">
        <v>806</v>
      </c>
      <c r="C114" s="239">
        <v>0</v>
      </c>
      <c r="D114" s="240">
        <v>0</v>
      </c>
      <c r="E114" s="240">
        <v>0</v>
      </c>
      <c r="F114" s="240">
        <v>0</v>
      </c>
      <c r="G114" s="240">
        <v>0</v>
      </c>
      <c r="H114" s="240">
        <v>0</v>
      </c>
      <c r="I114" s="240">
        <v>0</v>
      </c>
      <c r="J114" s="241">
        <v>0</v>
      </c>
      <c r="K114" s="241">
        <v>0.7195968079204963</v>
      </c>
      <c r="L114" s="240">
        <v>0.71539916420836214</v>
      </c>
      <c r="M114" s="240">
        <v>0</v>
      </c>
      <c r="N114" s="240">
        <v>0.70282724523592377</v>
      </c>
      <c r="O114" s="241">
        <v>0.71904255771438286</v>
      </c>
      <c r="P114" s="241">
        <v>0</v>
      </c>
      <c r="Q114" s="240">
        <v>0</v>
      </c>
      <c r="R114" s="241">
        <v>0</v>
      </c>
      <c r="S114" s="241">
        <v>0</v>
      </c>
      <c r="T114" s="241">
        <v>0</v>
      </c>
      <c r="U114" s="241">
        <v>0.71904255771438286</v>
      </c>
      <c r="V114" s="247"/>
    </row>
    <row r="115" spans="1:22">
      <c r="A115" s="242"/>
      <c r="B115" s="243" t="s">
        <v>807</v>
      </c>
      <c r="C115" s="244">
        <v>0</v>
      </c>
      <c r="D115" s="245">
        <v>0</v>
      </c>
      <c r="E115" s="245">
        <v>0</v>
      </c>
      <c r="F115" s="245">
        <v>0</v>
      </c>
      <c r="G115" s="245">
        <v>0</v>
      </c>
      <c r="H115" s="245">
        <v>0</v>
      </c>
      <c r="I115" s="245">
        <v>0</v>
      </c>
      <c r="J115" s="246">
        <v>0</v>
      </c>
      <c r="K115" s="246">
        <v>0.70210618182509577</v>
      </c>
      <c r="L115" s="245">
        <v>0.69397530513766681</v>
      </c>
      <c r="M115" s="245">
        <v>0</v>
      </c>
      <c r="N115" s="245">
        <v>0.67652482269503544</v>
      </c>
      <c r="O115" s="246">
        <v>0.7010531495748622</v>
      </c>
      <c r="P115" s="246">
        <v>0</v>
      </c>
      <c r="Q115" s="245">
        <v>0</v>
      </c>
      <c r="R115" s="246">
        <v>0</v>
      </c>
      <c r="S115" s="246">
        <v>0</v>
      </c>
      <c r="T115" s="246">
        <v>0</v>
      </c>
      <c r="U115" s="246">
        <v>0.7010531495748622</v>
      </c>
      <c r="V115" s="247"/>
    </row>
    <row r="116" spans="1:22">
      <c r="A116" s="242"/>
      <c r="B116" s="248" t="s">
        <v>808</v>
      </c>
      <c r="C116" s="249">
        <v>0</v>
      </c>
      <c r="D116" s="250">
        <v>0</v>
      </c>
      <c r="E116" s="250">
        <v>0</v>
      </c>
      <c r="F116" s="250">
        <v>0</v>
      </c>
      <c r="G116" s="250">
        <v>0</v>
      </c>
      <c r="H116" s="250">
        <v>0</v>
      </c>
      <c r="I116" s="250">
        <v>0</v>
      </c>
      <c r="J116" s="253">
        <v>0</v>
      </c>
      <c r="K116" s="253">
        <v>-1.749062609540053</v>
      </c>
      <c r="L116" s="250">
        <v>-2.1423859070695328</v>
      </c>
      <c r="M116" s="250">
        <v>0</v>
      </c>
      <c r="N116" s="250">
        <v>-2.6302422540888326</v>
      </c>
      <c r="O116" s="253">
        <v>-1.7989408139520657</v>
      </c>
      <c r="P116" s="253">
        <v>0</v>
      </c>
      <c r="Q116" s="250">
        <v>0</v>
      </c>
      <c r="R116" s="253">
        <v>0</v>
      </c>
      <c r="S116" s="253">
        <v>0</v>
      </c>
      <c r="T116" s="253">
        <v>0</v>
      </c>
      <c r="U116" s="253">
        <v>-1.7989408139520657</v>
      </c>
      <c r="V116" s="247"/>
    </row>
    <row r="117" spans="1:22">
      <c r="A117" s="242"/>
      <c r="B117" s="219" t="s">
        <v>809</v>
      </c>
      <c r="C117" s="239">
        <v>0</v>
      </c>
      <c r="D117" s="240">
        <v>0</v>
      </c>
      <c r="E117" s="240">
        <v>0</v>
      </c>
      <c r="F117" s="240">
        <v>0</v>
      </c>
      <c r="G117" s="240">
        <v>0</v>
      </c>
      <c r="H117" s="240">
        <v>0</v>
      </c>
      <c r="I117" s="240">
        <v>0</v>
      </c>
      <c r="J117" s="241">
        <v>0</v>
      </c>
      <c r="K117" s="241">
        <v>3.3405566576305043E-2</v>
      </c>
      <c r="L117" s="240">
        <v>3.7155015802702633E-2</v>
      </c>
      <c r="M117" s="240">
        <v>0</v>
      </c>
      <c r="N117" s="240">
        <v>3.8040608649738399E-2</v>
      </c>
      <c r="O117" s="241">
        <v>3.385365396334318E-2</v>
      </c>
      <c r="P117" s="241">
        <v>0</v>
      </c>
      <c r="Q117" s="240">
        <v>0</v>
      </c>
      <c r="R117" s="241">
        <v>0</v>
      </c>
      <c r="S117" s="241">
        <v>0</v>
      </c>
      <c r="T117" s="241">
        <v>0</v>
      </c>
      <c r="U117" s="241">
        <v>3.385365396334318E-2</v>
      </c>
      <c r="V117" s="247"/>
    </row>
    <row r="118" spans="1:22">
      <c r="A118" s="242"/>
      <c r="B118" s="243" t="s">
        <v>810</v>
      </c>
      <c r="C118" s="244">
        <v>0</v>
      </c>
      <c r="D118" s="245">
        <v>0</v>
      </c>
      <c r="E118" s="245">
        <v>0</v>
      </c>
      <c r="F118" s="254">
        <v>0</v>
      </c>
      <c r="G118" s="245">
        <v>0</v>
      </c>
      <c r="H118" s="245">
        <v>0</v>
      </c>
      <c r="I118" s="245">
        <v>0</v>
      </c>
      <c r="J118" s="246">
        <v>0</v>
      </c>
      <c r="K118" s="246">
        <v>3.4963641510408698E-2</v>
      </c>
      <c r="L118" s="245">
        <v>3.9907634003574964E-2</v>
      </c>
      <c r="M118" s="245">
        <v>0</v>
      </c>
      <c r="N118" s="245">
        <v>3.3427895981087467E-2</v>
      </c>
      <c r="O118" s="246">
        <v>3.5524317511253616E-2</v>
      </c>
      <c r="P118" s="246">
        <v>0</v>
      </c>
      <c r="Q118" s="245">
        <v>0</v>
      </c>
      <c r="R118" s="246">
        <v>0</v>
      </c>
      <c r="S118" s="246">
        <v>0</v>
      </c>
      <c r="T118" s="246">
        <v>0</v>
      </c>
      <c r="U118" s="246">
        <v>3.5524317511253616E-2</v>
      </c>
      <c r="V118" s="247"/>
    </row>
    <row r="119" spans="1:22">
      <c r="A119" s="242"/>
      <c r="B119" s="248" t="s">
        <v>811</v>
      </c>
      <c r="C119" s="249">
        <v>0</v>
      </c>
      <c r="D119" s="250">
        <v>0</v>
      </c>
      <c r="E119" s="250">
        <v>0</v>
      </c>
      <c r="F119" s="252">
        <v>0</v>
      </c>
      <c r="G119" s="250">
        <v>0</v>
      </c>
      <c r="H119" s="250">
        <v>0</v>
      </c>
      <c r="I119" s="250">
        <v>0</v>
      </c>
      <c r="J119" s="253">
        <v>0</v>
      </c>
      <c r="K119" s="253">
        <v>0.15580749341036551</v>
      </c>
      <c r="L119" s="250">
        <v>0.2752618200872331</v>
      </c>
      <c r="M119" s="250">
        <v>0</v>
      </c>
      <c r="N119" s="250">
        <v>-0.46127126686509312</v>
      </c>
      <c r="O119" s="253">
        <v>0.16706635479104351</v>
      </c>
      <c r="P119" s="253">
        <v>0</v>
      </c>
      <c r="Q119" s="250">
        <v>0</v>
      </c>
      <c r="R119" s="253">
        <v>0</v>
      </c>
      <c r="S119" s="253">
        <v>0</v>
      </c>
      <c r="T119" s="253">
        <v>0</v>
      </c>
      <c r="U119" s="253">
        <v>0.16706635479104351</v>
      </c>
      <c r="V119" s="247"/>
    </row>
    <row r="120" spans="1:22">
      <c r="A120" s="242"/>
      <c r="B120" s="219" t="s">
        <v>812</v>
      </c>
      <c r="C120" s="239">
        <v>0</v>
      </c>
      <c r="D120" s="240">
        <v>0</v>
      </c>
      <c r="E120" s="240">
        <v>0</v>
      </c>
      <c r="F120" s="240">
        <v>0</v>
      </c>
      <c r="G120" s="240">
        <v>0</v>
      </c>
      <c r="H120" s="240">
        <v>0</v>
      </c>
      <c r="I120" s="240">
        <v>0</v>
      </c>
      <c r="J120" s="241">
        <v>0</v>
      </c>
      <c r="K120" s="241">
        <v>0.24592810030610507</v>
      </c>
      <c r="L120" s="240">
        <v>0.24595265123598001</v>
      </c>
      <c r="M120" s="240">
        <v>0</v>
      </c>
      <c r="N120" s="240">
        <v>0.25913214611433782</v>
      </c>
      <c r="O120" s="241">
        <v>0.24599087122364194</v>
      </c>
      <c r="P120" s="241">
        <v>0</v>
      </c>
      <c r="Q120" s="240">
        <v>0</v>
      </c>
      <c r="R120" s="241">
        <v>0</v>
      </c>
      <c r="S120" s="241">
        <v>0</v>
      </c>
      <c r="T120" s="241">
        <v>0</v>
      </c>
      <c r="U120" s="241">
        <v>0.24599087122364194</v>
      </c>
      <c r="V120" s="247"/>
    </row>
    <row r="121" spans="1:22">
      <c r="A121" s="242"/>
      <c r="B121" s="243" t="s">
        <v>813</v>
      </c>
      <c r="C121" s="244">
        <v>0</v>
      </c>
      <c r="D121" s="245">
        <v>0</v>
      </c>
      <c r="E121" s="245">
        <v>0</v>
      </c>
      <c r="F121" s="245">
        <v>0</v>
      </c>
      <c r="G121" s="245">
        <v>0</v>
      </c>
      <c r="H121" s="245">
        <v>0</v>
      </c>
      <c r="I121" s="245">
        <v>0</v>
      </c>
      <c r="J121" s="246">
        <v>0</v>
      </c>
      <c r="K121" s="246">
        <v>0.26191772034965893</v>
      </c>
      <c r="L121" s="245">
        <v>0.26537291620317449</v>
      </c>
      <c r="M121" s="245">
        <v>0</v>
      </c>
      <c r="N121" s="245">
        <v>0.29004728132387708</v>
      </c>
      <c r="O121" s="246">
        <v>0.26244560977680886</v>
      </c>
      <c r="P121" s="246">
        <v>0</v>
      </c>
      <c r="Q121" s="245">
        <v>0</v>
      </c>
      <c r="R121" s="246">
        <v>0</v>
      </c>
      <c r="S121" s="246">
        <v>0</v>
      </c>
      <c r="T121" s="246">
        <v>0</v>
      </c>
      <c r="U121" s="246">
        <v>0.26244560977680886</v>
      </c>
      <c r="V121" s="247"/>
    </row>
    <row r="122" spans="1:22">
      <c r="A122" s="242"/>
      <c r="B122" s="248" t="s">
        <v>814</v>
      </c>
      <c r="C122" s="249">
        <v>0</v>
      </c>
      <c r="D122" s="250">
        <v>0</v>
      </c>
      <c r="E122" s="250">
        <v>0</v>
      </c>
      <c r="F122" s="252">
        <v>0</v>
      </c>
      <c r="G122" s="250">
        <v>0</v>
      </c>
      <c r="H122" s="250">
        <v>0</v>
      </c>
      <c r="I122" s="250">
        <v>0</v>
      </c>
      <c r="J122" s="253">
        <v>0</v>
      </c>
      <c r="K122" s="253">
        <v>1.5989620043553865</v>
      </c>
      <c r="L122" s="250">
        <v>1.9420264967194485</v>
      </c>
      <c r="M122" s="250">
        <v>0</v>
      </c>
      <c r="N122" s="250">
        <v>3.0915135209539257</v>
      </c>
      <c r="O122" s="253">
        <v>1.6454738553166925</v>
      </c>
      <c r="P122" s="253">
        <v>0</v>
      </c>
      <c r="Q122" s="250">
        <v>0</v>
      </c>
      <c r="R122" s="253">
        <v>0</v>
      </c>
      <c r="S122" s="253">
        <v>0</v>
      </c>
      <c r="T122" s="253">
        <v>0</v>
      </c>
      <c r="U122" s="253">
        <v>1.6454738553166925</v>
      </c>
      <c r="V122" s="247"/>
    </row>
    <row r="123" spans="1:22">
      <c r="A123" s="242"/>
      <c r="B123" s="219" t="s">
        <v>815</v>
      </c>
      <c r="C123" s="239">
        <v>0</v>
      </c>
      <c r="D123" s="240">
        <v>0</v>
      </c>
      <c r="E123" s="240">
        <v>0</v>
      </c>
      <c r="F123" s="240">
        <v>0</v>
      </c>
      <c r="G123" s="240">
        <v>0</v>
      </c>
      <c r="H123" s="240">
        <v>0</v>
      </c>
      <c r="I123" s="240">
        <v>0</v>
      </c>
      <c r="J123" s="241">
        <v>0</v>
      </c>
      <c r="K123" s="241">
        <v>6.4673566664350123E-5</v>
      </c>
      <c r="L123" s="240">
        <v>0</v>
      </c>
      <c r="M123" s="240">
        <v>0</v>
      </c>
      <c r="N123" s="240">
        <v>0</v>
      </c>
      <c r="O123" s="241">
        <v>5.7013972238665069E-5</v>
      </c>
      <c r="P123" s="241">
        <v>0</v>
      </c>
      <c r="Q123" s="240">
        <v>0</v>
      </c>
      <c r="R123" s="241">
        <v>0</v>
      </c>
      <c r="S123" s="241">
        <v>0</v>
      </c>
      <c r="T123" s="241">
        <v>0</v>
      </c>
      <c r="U123" s="241">
        <v>5.7013972238665069E-5</v>
      </c>
      <c r="V123" s="247"/>
    </row>
    <row r="124" spans="1:22">
      <c r="A124" s="242"/>
      <c r="B124" s="243" t="s">
        <v>816</v>
      </c>
      <c r="C124" s="244">
        <v>0</v>
      </c>
      <c r="D124" s="245">
        <v>0</v>
      </c>
      <c r="E124" s="254">
        <v>0</v>
      </c>
      <c r="F124" s="245">
        <v>0</v>
      </c>
      <c r="G124" s="245">
        <v>0</v>
      </c>
      <c r="H124" s="245">
        <v>0</v>
      </c>
      <c r="I124" s="245">
        <v>0</v>
      </c>
      <c r="J124" s="246">
        <v>0</v>
      </c>
      <c r="K124" s="246">
        <v>1.1670641731437894E-4</v>
      </c>
      <c r="L124" s="245">
        <v>0</v>
      </c>
      <c r="M124" s="245">
        <v>0</v>
      </c>
      <c r="N124" s="245">
        <v>0</v>
      </c>
      <c r="O124" s="246">
        <v>1.0275865692122508E-4</v>
      </c>
      <c r="P124" s="246">
        <v>0</v>
      </c>
      <c r="Q124" s="245">
        <v>0</v>
      </c>
      <c r="R124" s="246">
        <v>0</v>
      </c>
      <c r="S124" s="246">
        <v>0</v>
      </c>
      <c r="T124" s="246">
        <v>0</v>
      </c>
      <c r="U124" s="246">
        <v>1.0275865692122508E-4</v>
      </c>
      <c r="V124" s="247"/>
    </row>
    <row r="125" spans="1:22">
      <c r="A125" s="242"/>
      <c r="B125" s="248" t="s">
        <v>817</v>
      </c>
      <c r="C125" s="249">
        <v>0</v>
      </c>
      <c r="D125" s="250">
        <v>0</v>
      </c>
      <c r="E125" s="252">
        <v>0</v>
      </c>
      <c r="F125" s="250">
        <v>0</v>
      </c>
      <c r="G125" s="250">
        <v>0</v>
      </c>
      <c r="H125" s="250">
        <v>0</v>
      </c>
      <c r="I125" s="250">
        <v>0</v>
      </c>
      <c r="J125" s="253">
        <v>0</v>
      </c>
      <c r="K125" s="253">
        <v>5.2032850650028818E-3</v>
      </c>
      <c r="L125" s="250">
        <v>0</v>
      </c>
      <c r="M125" s="250">
        <v>0</v>
      </c>
      <c r="N125" s="250">
        <v>0</v>
      </c>
      <c r="O125" s="253">
        <v>4.5744684682560016E-3</v>
      </c>
      <c r="P125" s="253">
        <v>0</v>
      </c>
      <c r="Q125" s="250">
        <v>0</v>
      </c>
      <c r="R125" s="253">
        <v>0</v>
      </c>
      <c r="S125" s="253">
        <v>0</v>
      </c>
      <c r="T125" s="253">
        <v>0</v>
      </c>
      <c r="U125" s="253">
        <v>4.5744684682560016E-3</v>
      </c>
      <c r="V125" s="247"/>
    </row>
    <row r="126" spans="1:22">
      <c r="A126" s="242"/>
      <c r="B126" s="219" t="s">
        <v>818</v>
      </c>
      <c r="C126" s="239">
        <v>0</v>
      </c>
      <c r="D126" s="240">
        <v>0</v>
      </c>
      <c r="E126" s="240">
        <v>0</v>
      </c>
      <c r="F126" s="240">
        <v>0</v>
      </c>
      <c r="G126" s="240">
        <v>0</v>
      </c>
      <c r="H126" s="240">
        <v>0</v>
      </c>
      <c r="I126" s="240">
        <v>0</v>
      </c>
      <c r="J126" s="241">
        <v>0</v>
      </c>
      <c r="K126" s="241">
        <v>6.8717210316212934E-4</v>
      </c>
      <c r="L126" s="240">
        <v>1.4931687529552299E-3</v>
      </c>
      <c r="M126" s="240">
        <v>0</v>
      </c>
      <c r="N126" s="240">
        <v>0</v>
      </c>
      <c r="O126" s="241">
        <v>7.7584787843705408E-4</v>
      </c>
      <c r="P126" s="241">
        <v>0</v>
      </c>
      <c r="Q126" s="240">
        <v>0</v>
      </c>
      <c r="R126" s="241">
        <v>0</v>
      </c>
      <c r="S126" s="241">
        <v>0</v>
      </c>
      <c r="T126" s="241">
        <v>0</v>
      </c>
      <c r="U126" s="241">
        <v>7.7584787843705408E-4</v>
      </c>
      <c r="V126" s="247"/>
    </row>
    <row r="127" spans="1:22">
      <c r="A127" s="242"/>
      <c r="B127" s="243" t="s">
        <v>819</v>
      </c>
      <c r="C127" s="244">
        <v>0</v>
      </c>
      <c r="D127" s="245">
        <v>0</v>
      </c>
      <c r="E127" s="245">
        <v>0</v>
      </c>
      <c r="F127" s="245">
        <v>0</v>
      </c>
      <c r="G127" s="245">
        <v>0</v>
      </c>
      <c r="H127" s="245">
        <v>0</v>
      </c>
      <c r="I127" s="245">
        <v>0</v>
      </c>
      <c r="J127" s="246">
        <v>0</v>
      </c>
      <c r="K127" s="246">
        <v>4.877152423459416E-4</v>
      </c>
      <c r="L127" s="245">
        <v>7.4414465558376997E-4</v>
      </c>
      <c r="M127" s="245">
        <v>0</v>
      </c>
      <c r="N127" s="245">
        <v>0</v>
      </c>
      <c r="O127" s="246">
        <v>5.1489466356562411E-4</v>
      </c>
      <c r="P127" s="246">
        <v>0</v>
      </c>
      <c r="Q127" s="245">
        <v>0</v>
      </c>
      <c r="R127" s="246">
        <v>0</v>
      </c>
      <c r="S127" s="246">
        <v>0</v>
      </c>
      <c r="T127" s="246">
        <v>0</v>
      </c>
      <c r="U127" s="246">
        <v>5.1489466356562411E-4</v>
      </c>
      <c r="V127" s="247"/>
    </row>
    <row r="128" spans="1:22">
      <c r="A128" s="242"/>
      <c r="B128" s="248" t="s">
        <v>820</v>
      </c>
      <c r="C128" s="249">
        <v>0</v>
      </c>
      <c r="D128" s="250">
        <v>0</v>
      </c>
      <c r="E128" s="250">
        <v>0</v>
      </c>
      <c r="F128" s="250">
        <v>0</v>
      </c>
      <c r="G128" s="250">
        <v>0</v>
      </c>
      <c r="H128" s="250">
        <v>0</v>
      </c>
      <c r="I128" s="250">
        <v>0</v>
      </c>
      <c r="J128" s="253">
        <v>0</v>
      </c>
      <c r="K128" s="253">
        <v>-1.9945686081618775E-2</v>
      </c>
      <c r="L128" s="250">
        <v>-7.4902409737145986E-2</v>
      </c>
      <c r="M128" s="250">
        <v>0</v>
      </c>
      <c r="N128" s="250">
        <v>0</v>
      </c>
      <c r="O128" s="253">
        <v>-2.6095321487142997E-2</v>
      </c>
      <c r="P128" s="253">
        <v>0</v>
      </c>
      <c r="Q128" s="250">
        <v>0</v>
      </c>
      <c r="R128" s="253">
        <v>0</v>
      </c>
      <c r="S128" s="253">
        <v>0</v>
      </c>
      <c r="T128" s="253">
        <v>0</v>
      </c>
      <c r="U128" s="253">
        <v>-2.6095321487142997E-2</v>
      </c>
      <c r="V128" s="247"/>
    </row>
    <row r="129" spans="1:22">
      <c r="A129" s="242"/>
      <c r="B129" s="219" t="s">
        <v>821</v>
      </c>
      <c r="C129" s="239">
        <v>0</v>
      </c>
      <c r="D129" s="240">
        <v>0</v>
      </c>
      <c r="E129" s="240">
        <v>0</v>
      </c>
      <c r="F129" s="240">
        <v>0</v>
      </c>
      <c r="G129" s="240">
        <v>0</v>
      </c>
      <c r="H129" s="240">
        <v>0</v>
      </c>
      <c r="I129" s="240">
        <v>0</v>
      </c>
      <c r="J129" s="241">
        <v>0</v>
      </c>
      <c r="K129" s="241">
        <v>3.176795272671424E-4</v>
      </c>
      <c r="L129" s="240">
        <v>0</v>
      </c>
      <c r="M129" s="240">
        <v>0</v>
      </c>
      <c r="N129" s="240">
        <v>0</v>
      </c>
      <c r="O129" s="241">
        <v>2.8005524795627257E-4</v>
      </c>
      <c r="P129" s="241">
        <v>0</v>
      </c>
      <c r="Q129" s="240">
        <v>0</v>
      </c>
      <c r="R129" s="241">
        <v>0</v>
      </c>
      <c r="S129" s="241">
        <v>0</v>
      </c>
      <c r="T129" s="241">
        <v>0</v>
      </c>
      <c r="U129" s="241">
        <v>2.8005524795627257E-4</v>
      </c>
      <c r="V129" s="247"/>
    </row>
    <row r="130" spans="1:22">
      <c r="A130" s="242"/>
      <c r="B130" s="243" t="s">
        <v>822</v>
      </c>
      <c r="C130" s="244">
        <v>0</v>
      </c>
      <c r="D130" s="245">
        <v>0</v>
      </c>
      <c r="E130" s="245">
        <v>0</v>
      </c>
      <c r="F130" s="245">
        <v>0</v>
      </c>
      <c r="G130" s="245">
        <v>0</v>
      </c>
      <c r="H130" s="245">
        <v>0</v>
      </c>
      <c r="I130" s="245">
        <v>0</v>
      </c>
      <c r="J130" s="246">
        <v>0</v>
      </c>
      <c r="K130" s="246">
        <v>4.0803465517631738E-4</v>
      </c>
      <c r="L130" s="245">
        <v>0</v>
      </c>
      <c r="M130" s="245">
        <v>0</v>
      </c>
      <c r="N130" s="245">
        <v>0</v>
      </c>
      <c r="O130" s="246">
        <v>3.5926981658846325E-4</v>
      </c>
      <c r="P130" s="246">
        <v>0</v>
      </c>
      <c r="Q130" s="245">
        <v>0</v>
      </c>
      <c r="R130" s="246">
        <v>0</v>
      </c>
      <c r="S130" s="246">
        <v>0</v>
      </c>
      <c r="T130" s="246">
        <v>0</v>
      </c>
      <c r="U130" s="246">
        <v>3.5926981658846325E-4</v>
      </c>
      <c r="V130" s="247"/>
    </row>
    <row r="131" spans="1:22" ht="15.75" thickBot="1">
      <c r="A131" s="242"/>
      <c r="B131" s="257" t="s">
        <v>823</v>
      </c>
      <c r="C131" s="258">
        <v>0</v>
      </c>
      <c r="D131" s="259">
        <v>0</v>
      </c>
      <c r="E131" s="259">
        <v>0</v>
      </c>
      <c r="F131" s="259">
        <v>0</v>
      </c>
      <c r="G131" s="259">
        <v>0</v>
      </c>
      <c r="H131" s="259">
        <v>0</v>
      </c>
      <c r="I131" s="259">
        <v>0</v>
      </c>
      <c r="J131" s="260">
        <v>0</v>
      </c>
      <c r="K131" s="260">
        <v>9.0355127909174972E-3</v>
      </c>
      <c r="L131" s="259">
        <v>0</v>
      </c>
      <c r="M131" s="259">
        <v>0</v>
      </c>
      <c r="N131" s="259">
        <v>0</v>
      </c>
      <c r="O131" s="260">
        <v>7.9214568632190677E-3</v>
      </c>
      <c r="P131" s="260">
        <v>0</v>
      </c>
      <c r="Q131" s="259">
        <v>0</v>
      </c>
      <c r="R131" s="260">
        <v>0</v>
      </c>
      <c r="S131" s="260">
        <v>0</v>
      </c>
      <c r="T131" s="260">
        <v>0</v>
      </c>
      <c r="U131" s="260">
        <v>7.9214568632190677E-3</v>
      </c>
      <c r="V131" s="247"/>
    </row>
    <row r="132" spans="1:22" ht="15.75" thickTop="1">
      <c r="A132" s="242"/>
      <c r="B132" s="243" t="s">
        <v>824</v>
      </c>
      <c r="C132" s="244">
        <v>0</v>
      </c>
      <c r="D132" s="245">
        <v>0</v>
      </c>
      <c r="E132" s="245">
        <v>0</v>
      </c>
      <c r="F132" s="245">
        <v>0</v>
      </c>
      <c r="G132" s="245">
        <v>0</v>
      </c>
      <c r="H132" s="245">
        <v>0</v>
      </c>
      <c r="I132" s="245">
        <v>0</v>
      </c>
      <c r="J132" s="246">
        <v>0</v>
      </c>
      <c r="K132" s="246">
        <v>0</v>
      </c>
      <c r="L132" s="245">
        <v>0</v>
      </c>
      <c r="M132" s="245">
        <v>0</v>
      </c>
      <c r="N132" s="245">
        <v>0</v>
      </c>
      <c r="O132" s="246">
        <v>0</v>
      </c>
      <c r="P132" s="246">
        <v>0</v>
      </c>
      <c r="Q132" s="245">
        <v>0</v>
      </c>
      <c r="R132" s="246">
        <v>0</v>
      </c>
      <c r="S132" s="246">
        <v>0</v>
      </c>
      <c r="T132" s="246">
        <v>0</v>
      </c>
      <c r="U132" s="246">
        <v>0</v>
      </c>
      <c r="V132" s="247"/>
    </row>
    <row r="133" spans="1:22">
      <c r="A133" s="242"/>
      <c r="B133" s="243" t="s">
        <v>825</v>
      </c>
      <c r="C133" s="244">
        <v>0</v>
      </c>
      <c r="D133" s="245">
        <v>0</v>
      </c>
      <c r="E133" s="245">
        <v>0</v>
      </c>
      <c r="F133" s="245">
        <v>0</v>
      </c>
      <c r="G133" s="245">
        <v>0</v>
      </c>
      <c r="H133" s="245">
        <v>0</v>
      </c>
      <c r="I133" s="245">
        <v>0</v>
      </c>
      <c r="J133" s="246">
        <v>0</v>
      </c>
      <c r="K133" s="246">
        <v>0</v>
      </c>
      <c r="L133" s="245">
        <v>0</v>
      </c>
      <c r="M133" s="245">
        <v>0</v>
      </c>
      <c r="N133" s="245">
        <v>0</v>
      </c>
      <c r="O133" s="246">
        <v>0</v>
      </c>
      <c r="P133" s="246">
        <v>0</v>
      </c>
      <c r="Q133" s="245">
        <v>0</v>
      </c>
      <c r="R133" s="246">
        <v>0</v>
      </c>
      <c r="S133" s="246">
        <v>0</v>
      </c>
      <c r="T133" s="246">
        <v>0</v>
      </c>
      <c r="U133" s="246">
        <v>0</v>
      </c>
      <c r="V133" s="247"/>
    </row>
    <row r="134" spans="1:22">
      <c r="A134" s="242"/>
      <c r="B134" s="248" t="s">
        <v>826</v>
      </c>
      <c r="C134" s="249">
        <v>0</v>
      </c>
      <c r="D134" s="250">
        <v>0</v>
      </c>
      <c r="E134" s="250">
        <v>0</v>
      </c>
      <c r="F134" s="252">
        <v>0</v>
      </c>
      <c r="G134" s="250">
        <v>0</v>
      </c>
      <c r="H134" s="250">
        <v>0</v>
      </c>
      <c r="I134" s="250">
        <v>0</v>
      </c>
      <c r="J134" s="253">
        <v>0</v>
      </c>
      <c r="K134" s="253">
        <v>0</v>
      </c>
      <c r="L134" s="250">
        <v>0</v>
      </c>
      <c r="M134" s="250">
        <v>0</v>
      </c>
      <c r="N134" s="250">
        <v>0</v>
      </c>
      <c r="O134" s="253">
        <v>0</v>
      </c>
      <c r="P134" s="253">
        <v>0</v>
      </c>
      <c r="Q134" s="250">
        <v>0</v>
      </c>
      <c r="R134" s="253">
        <v>0</v>
      </c>
      <c r="S134" s="253">
        <v>0</v>
      </c>
      <c r="T134" s="253">
        <v>0</v>
      </c>
      <c r="U134" s="253">
        <v>0</v>
      </c>
      <c r="V134" s="247"/>
    </row>
    <row r="135" spans="1:22">
      <c r="A135" s="242"/>
      <c r="B135" s="219" t="s">
        <v>827</v>
      </c>
      <c r="C135" s="239">
        <v>0</v>
      </c>
      <c r="D135" s="240">
        <v>0</v>
      </c>
      <c r="E135" s="240">
        <v>0</v>
      </c>
      <c r="F135" s="240">
        <v>0</v>
      </c>
      <c r="G135" s="240">
        <v>0</v>
      </c>
      <c r="H135" s="240">
        <v>0</v>
      </c>
      <c r="I135" s="240">
        <v>0</v>
      </c>
      <c r="J135" s="241">
        <v>0</v>
      </c>
      <c r="K135" s="241">
        <v>0</v>
      </c>
      <c r="L135" s="240">
        <v>0</v>
      </c>
      <c r="M135" s="240">
        <v>0</v>
      </c>
      <c r="N135" s="240">
        <v>0</v>
      </c>
      <c r="O135" s="241">
        <v>0</v>
      </c>
      <c r="P135" s="241">
        <v>0</v>
      </c>
      <c r="Q135" s="240">
        <v>0</v>
      </c>
      <c r="R135" s="241">
        <v>0</v>
      </c>
      <c r="S135" s="241">
        <v>0</v>
      </c>
      <c r="T135" s="241">
        <v>0</v>
      </c>
      <c r="U135" s="241">
        <v>0</v>
      </c>
      <c r="V135" s="247"/>
    </row>
    <row r="136" spans="1:22">
      <c r="A136" s="242"/>
      <c r="B136" s="243" t="s">
        <v>828</v>
      </c>
      <c r="C136" s="244">
        <v>0</v>
      </c>
      <c r="D136" s="245">
        <v>0</v>
      </c>
      <c r="E136" s="245">
        <v>0</v>
      </c>
      <c r="F136" s="245">
        <v>0</v>
      </c>
      <c r="G136" s="245">
        <v>0</v>
      </c>
      <c r="H136" s="245">
        <v>0</v>
      </c>
      <c r="I136" s="245">
        <v>0</v>
      </c>
      <c r="J136" s="246">
        <v>0</v>
      </c>
      <c r="K136" s="246">
        <v>0</v>
      </c>
      <c r="L136" s="245">
        <v>0</v>
      </c>
      <c r="M136" s="245">
        <v>0</v>
      </c>
      <c r="N136" s="245">
        <v>0</v>
      </c>
      <c r="O136" s="246">
        <v>0</v>
      </c>
      <c r="P136" s="246">
        <v>0</v>
      </c>
      <c r="Q136" s="245">
        <v>0</v>
      </c>
      <c r="R136" s="246">
        <v>0</v>
      </c>
      <c r="S136" s="246">
        <v>0</v>
      </c>
      <c r="T136" s="246">
        <v>0</v>
      </c>
      <c r="U136" s="246">
        <v>0</v>
      </c>
      <c r="V136" s="247"/>
    </row>
    <row r="137" spans="1:22">
      <c r="A137" s="242"/>
      <c r="B137" s="248" t="s">
        <v>829</v>
      </c>
      <c r="C137" s="249">
        <v>0</v>
      </c>
      <c r="D137" s="250">
        <v>0</v>
      </c>
      <c r="E137" s="250">
        <v>0</v>
      </c>
      <c r="F137" s="250">
        <v>0</v>
      </c>
      <c r="G137" s="250">
        <v>0</v>
      </c>
      <c r="H137" s="250">
        <v>0</v>
      </c>
      <c r="I137" s="250">
        <v>0</v>
      </c>
      <c r="J137" s="253">
        <v>0</v>
      </c>
      <c r="K137" s="253">
        <v>0</v>
      </c>
      <c r="L137" s="250">
        <v>0</v>
      </c>
      <c r="M137" s="250">
        <v>0</v>
      </c>
      <c r="N137" s="250">
        <v>0</v>
      </c>
      <c r="O137" s="253">
        <v>0</v>
      </c>
      <c r="P137" s="253">
        <v>0</v>
      </c>
      <c r="Q137" s="250">
        <v>0</v>
      </c>
      <c r="R137" s="253">
        <v>0</v>
      </c>
      <c r="S137" s="253">
        <v>0</v>
      </c>
      <c r="T137" s="253">
        <v>0</v>
      </c>
      <c r="U137" s="253">
        <v>0</v>
      </c>
      <c r="V137" s="247"/>
    </row>
    <row r="138" spans="1:22">
      <c r="A138" s="242"/>
      <c r="B138" s="219" t="s">
        <v>830</v>
      </c>
      <c r="C138" s="239">
        <v>0</v>
      </c>
      <c r="D138" s="240">
        <v>0</v>
      </c>
      <c r="E138" s="240">
        <v>0</v>
      </c>
      <c r="F138" s="240">
        <v>0</v>
      </c>
      <c r="G138" s="240">
        <v>0</v>
      </c>
      <c r="H138" s="240">
        <v>0</v>
      </c>
      <c r="I138" s="240">
        <v>0</v>
      </c>
      <c r="J138" s="241">
        <v>0</v>
      </c>
      <c r="K138" s="241">
        <v>0</v>
      </c>
      <c r="L138" s="240">
        <v>0</v>
      </c>
      <c r="M138" s="240">
        <v>0</v>
      </c>
      <c r="N138" s="240">
        <v>0</v>
      </c>
      <c r="O138" s="241">
        <v>0</v>
      </c>
      <c r="P138" s="241">
        <v>0</v>
      </c>
      <c r="Q138" s="240">
        <v>0</v>
      </c>
      <c r="R138" s="241">
        <v>0</v>
      </c>
      <c r="S138" s="241">
        <v>0</v>
      </c>
      <c r="T138" s="241">
        <v>0</v>
      </c>
      <c r="U138" s="241">
        <v>0</v>
      </c>
      <c r="V138" s="247"/>
    </row>
    <row r="139" spans="1:22">
      <c r="A139" s="242"/>
      <c r="B139" s="243" t="s">
        <v>831</v>
      </c>
      <c r="C139" s="244">
        <v>0</v>
      </c>
      <c r="D139" s="245">
        <v>0</v>
      </c>
      <c r="E139" s="245">
        <v>0</v>
      </c>
      <c r="F139" s="245">
        <v>0</v>
      </c>
      <c r="G139" s="245">
        <v>0</v>
      </c>
      <c r="H139" s="245">
        <v>0</v>
      </c>
      <c r="I139" s="245">
        <v>0</v>
      </c>
      <c r="J139" s="246">
        <v>0</v>
      </c>
      <c r="K139" s="246">
        <v>0</v>
      </c>
      <c r="L139" s="245">
        <v>0</v>
      </c>
      <c r="M139" s="245">
        <v>0</v>
      </c>
      <c r="N139" s="245">
        <v>0</v>
      </c>
      <c r="O139" s="246">
        <v>0</v>
      </c>
      <c r="P139" s="246">
        <v>0</v>
      </c>
      <c r="Q139" s="245">
        <v>0</v>
      </c>
      <c r="R139" s="246">
        <v>0</v>
      </c>
      <c r="S139" s="246">
        <v>0</v>
      </c>
      <c r="T139" s="246">
        <v>0</v>
      </c>
      <c r="U139" s="246">
        <v>0</v>
      </c>
      <c r="V139" s="247"/>
    </row>
    <row r="140" spans="1:22">
      <c r="A140" s="242"/>
      <c r="B140" s="248" t="s">
        <v>832</v>
      </c>
      <c r="C140" s="249">
        <v>0</v>
      </c>
      <c r="D140" s="250">
        <v>0</v>
      </c>
      <c r="E140" s="252">
        <v>0</v>
      </c>
      <c r="F140" s="252">
        <v>0</v>
      </c>
      <c r="G140" s="250">
        <v>0</v>
      </c>
      <c r="H140" s="250">
        <v>0</v>
      </c>
      <c r="I140" s="250">
        <v>0</v>
      </c>
      <c r="J140" s="253">
        <v>0</v>
      </c>
      <c r="K140" s="253">
        <v>0</v>
      </c>
      <c r="L140" s="250">
        <v>0</v>
      </c>
      <c r="M140" s="250">
        <v>0</v>
      </c>
      <c r="N140" s="250">
        <v>0</v>
      </c>
      <c r="O140" s="253">
        <v>0</v>
      </c>
      <c r="P140" s="253">
        <v>0</v>
      </c>
      <c r="Q140" s="250">
        <v>0</v>
      </c>
      <c r="R140" s="253">
        <v>0</v>
      </c>
      <c r="S140" s="253">
        <v>0</v>
      </c>
      <c r="T140" s="253">
        <v>0</v>
      </c>
      <c r="U140" s="253">
        <v>0</v>
      </c>
      <c r="V140" s="247"/>
    </row>
    <row r="141" spans="1:22">
      <c r="A141" s="242"/>
      <c r="B141" s="219" t="s">
        <v>833</v>
      </c>
      <c r="C141" s="239">
        <v>0</v>
      </c>
      <c r="D141" s="240">
        <v>0</v>
      </c>
      <c r="E141" s="240">
        <v>0</v>
      </c>
      <c r="F141" s="240">
        <v>0</v>
      </c>
      <c r="G141" s="240">
        <v>0</v>
      </c>
      <c r="H141" s="240">
        <v>0</v>
      </c>
      <c r="I141" s="240">
        <v>0</v>
      </c>
      <c r="J141" s="241">
        <v>0</v>
      </c>
      <c r="K141" s="241">
        <v>0</v>
      </c>
      <c r="L141" s="240">
        <v>0</v>
      </c>
      <c r="M141" s="240">
        <v>0</v>
      </c>
      <c r="N141" s="240">
        <v>0</v>
      </c>
      <c r="O141" s="241">
        <v>0</v>
      </c>
      <c r="P141" s="241">
        <v>0</v>
      </c>
      <c r="Q141" s="240">
        <v>0</v>
      </c>
      <c r="R141" s="241">
        <v>0</v>
      </c>
      <c r="S141" s="241">
        <v>0</v>
      </c>
      <c r="T141" s="241">
        <v>0</v>
      </c>
      <c r="U141" s="241">
        <v>0</v>
      </c>
      <c r="V141" s="247"/>
    </row>
    <row r="142" spans="1:22">
      <c r="A142" s="242"/>
      <c r="B142" s="243" t="s">
        <v>834</v>
      </c>
      <c r="C142" s="244">
        <v>0</v>
      </c>
      <c r="D142" s="245">
        <v>0</v>
      </c>
      <c r="E142" s="254">
        <v>0</v>
      </c>
      <c r="F142" s="245">
        <v>0</v>
      </c>
      <c r="G142" s="245">
        <v>0</v>
      </c>
      <c r="H142" s="245">
        <v>0</v>
      </c>
      <c r="I142" s="245">
        <v>0</v>
      </c>
      <c r="J142" s="246">
        <v>0</v>
      </c>
      <c r="K142" s="246">
        <v>0</v>
      </c>
      <c r="L142" s="245">
        <v>0</v>
      </c>
      <c r="M142" s="245">
        <v>0</v>
      </c>
      <c r="N142" s="245">
        <v>0</v>
      </c>
      <c r="O142" s="246">
        <v>0</v>
      </c>
      <c r="P142" s="246">
        <v>0</v>
      </c>
      <c r="Q142" s="245">
        <v>0</v>
      </c>
      <c r="R142" s="246">
        <v>0</v>
      </c>
      <c r="S142" s="246">
        <v>0</v>
      </c>
      <c r="T142" s="246">
        <v>0</v>
      </c>
      <c r="U142" s="246">
        <v>0</v>
      </c>
      <c r="V142" s="247"/>
    </row>
    <row r="143" spans="1:22">
      <c r="A143" s="242"/>
      <c r="B143" s="248" t="s">
        <v>835</v>
      </c>
      <c r="C143" s="249">
        <v>0</v>
      </c>
      <c r="D143" s="250">
        <v>0</v>
      </c>
      <c r="E143" s="252">
        <v>0</v>
      </c>
      <c r="F143" s="250">
        <v>0</v>
      </c>
      <c r="G143" s="250">
        <v>0</v>
      </c>
      <c r="H143" s="250">
        <v>0</v>
      </c>
      <c r="I143" s="250">
        <v>0</v>
      </c>
      <c r="J143" s="253">
        <v>0</v>
      </c>
      <c r="K143" s="253">
        <v>0</v>
      </c>
      <c r="L143" s="250">
        <v>0</v>
      </c>
      <c r="M143" s="250">
        <v>0</v>
      </c>
      <c r="N143" s="250">
        <v>0</v>
      </c>
      <c r="O143" s="253">
        <v>0</v>
      </c>
      <c r="P143" s="253">
        <v>0</v>
      </c>
      <c r="Q143" s="250">
        <v>0</v>
      </c>
      <c r="R143" s="253">
        <v>0</v>
      </c>
      <c r="S143" s="253">
        <v>0</v>
      </c>
      <c r="T143" s="253">
        <v>0</v>
      </c>
      <c r="U143" s="253">
        <v>0</v>
      </c>
      <c r="V143" s="247"/>
    </row>
    <row r="144" spans="1:22">
      <c r="A144" s="242"/>
      <c r="B144" s="219" t="s">
        <v>836</v>
      </c>
      <c r="C144" s="239">
        <v>0</v>
      </c>
      <c r="D144" s="240">
        <v>0</v>
      </c>
      <c r="E144" s="240">
        <v>0</v>
      </c>
      <c r="F144" s="240">
        <v>0</v>
      </c>
      <c r="G144" s="240">
        <v>0</v>
      </c>
      <c r="H144" s="240">
        <v>0</v>
      </c>
      <c r="I144" s="240">
        <v>0</v>
      </c>
      <c r="J144" s="241">
        <v>0</v>
      </c>
      <c r="K144" s="241">
        <v>0</v>
      </c>
      <c r="L144" s="240">
        <v>0</v>
      </c>
      <c r="M144" s="240">
        <v>0</v>
      </c>
      <c r="N144" s="240">
        <v>0</v>
      </c>
      <c r="O144" s="241">
        <v>0</v>
      </c>
      <c r="P144" s="241">
        <v>0</v>
      </c>
      <c r="Q144" s="240">
        <v>0</v>
      </c>
      <c r="R144" s="241">
        <v>0</v>
      </c>
      <c r="S144" s="241">
        <v>0</v>
      </c>
      <c r="T144" s="241">
        <v>0</v>
      </c>
      <c r="U144" s="241">
        <v>0</v>
      </c>
      <c r="V144" s="247"/>
    </row>
    <row r="145" spans="1:22">
      <c r="A145" s="242"/>
      <c r="B145" s="243" t="s">
        <v>837</v>
      </c>
      <c r="C145" s="244">
        <v>0</v>
      </c>
      <c r="D145" s="245">
        <v>0</v>
      </c>
      <c r="E145" s="245">
        <v>0</v>
      </c>
      <c r="F145" s="245">
        <v>0</v>
      </c>
      <c r="G145" s="245">
        <v>0</v>
      </c>
      <c r="H145" s="245">
        <v>0</v>
      </c>
      <c r="I145" s="245">
        <v>0</v>
      </c>
      <c r="J145" s="246">
        <v>0</v>
      </c>
      <c r="K145" s="246">
        <v>0</v>
      </c>
      <c r="L145" s="245">
        <v>0</v>
      </c>
      <c r="M145" s="245">
        <v>0</v>
      </c>
      <c r="N145" s="245">
        <v>0</v>
      </c>
      <c r="O145" s="246">
        <v>0</v>
      </c>
      <c r="P145" s="246">
        <v>0</v>
      </c>
      <c r="Q145" s="245">
        <v>0</v>
      </c>
      <c r="R145" s="246">
        <v>0</v>
      </c>
      <c r="S145" s="246">
        <v>0</v>
      </c>
      <c r="T145" s="246">
        <v>0</v>
      </c>
      <c r="U145" s="246">
        <v>0</v>
      </c>
      <c r="V145" s="247"/>
    </row>
    <row r="146" spans="1:22">
      <c r="A146" s="242"/>
      <c r="B146" s="248" t="s">
        <v>838</v>
      </c>
      <c r="C146" s="249">
        <v>0</v>
      </c>
      <c r="D146" s="250">
        <v>0</v>
      </c>
      <c r="E146" s="250">
        <v>0</v>
      </c>
      <c r="F146" s="250">
        <v>0</v>
      </c>
      <c r="G146" s="250">
        <v>0</v>
      </c>
      <c r="H146" s="250">
        <v>0</v>
      </c>
      <c r="I146" s="250">
        <v>0</v>
      </c>
      <c r="J146" s="253">
        <v>0</v>
      </c>
      <c r="K146" s="253">
        <v>0</v>
      </c>
      <c r="L146" s="250">
        <v>0</v>
      </c>
      <c r="M146" s="250">
        <v>0</v>
      </c>
      <c r="N146" s="250">
        <v>0</v>
      </c>
      <c r="O146" s="253">
        <v>0</v>
      </c>
      <c r="P146" s="253">
        <v>0</v>
      </c>
      <c r="Q146" s="250">
        <v>0</v>
      </c>
      <c r="R146" s="253">
        <v>0</v>
      </c>
      <c r="S146" s="253">
        <v>0</v>
      </c>
      <c r="T146" s="253">
        <v>0</v>
      </c>
      <c r="U146" s="253">
        <v>0</v>
      </c>
      <c r="V146" s="247"/>
    </row>
    <row r="147" spans="1:22">
      <c r="A147" s="242"/>
      <c r="B147" s="219" t="s">
        <v>839</v>
      </c>
      <c r="C147" s="239">
        <v>0</v>
      </c>
      <c r="D147" s="240">
        <v>0</v>
      </c>
      <c r="E147" s="240">
        <v>0</v>
      </c>
      <c r="F147" s="240">
        <v>0</v>
      </c>
      <c r="G147" s="240">
        <v>0</v>
      </c>
      <c r="H147" s="240">
        <v>0</v>
      </c>
      <c r="I147" s="240">
        <v>0</v>
      </c>
      <c r="J147" s="241">
        <v>0</v>
      </c>
      <c r="K147" s="241">
        <v>0</v>
      </c>
      <c r="L147" s="240">
        <v>0</v>
      </c>
      <c r="M147" s="240">
        <v>0</v>
      </c>
      <c r="N147" s="240">
        <v>0</v>
      </c>
      <c r="O147" s="241">
        <v>0</v>
      </c>
      <c r="P147" s="241">
        <v>0</v>
      </c>
      <c r="Q147" s="240">
        <v>0</v>
      </c>
      <c r="R147" s="241">
        <v>0</v>
      </c>
      <c r="S147" s="241">
        <v>0</v>
      </c>
      <c r="T147" s="241">
        <v>0</v>
      </c>
      <c r="U147" s="241">
        <v>0</v>
      </c>
      <c r="V147" s="247"/>
    </row>
    <row r="148" spans="1:22">
      <c r="A148" s="242"/>
      <c r="B148" s="243" t="s">
        <v>840</v>
      </c>
      <c r="C148" s="244">
        <v>0</v>
      </c>
      <c r="D148" s="245">
        <v>0</v>
      </c>
      <c r="E148" s="245">
        <v>0</v>
      </c>
      <c r="F148" s="245">
        <v>0</v>
      </c>
      <c r="G148" s="245">
        <v>0</v>
      </c>
      <c r="H148" s="245">
        <v>0</v>
      </c>
      <c r="I148" s="245">
        <v>0</v>
      </c>
      <c r="J148" s="246">
        <v>0</v>
      </c>
      <c r="K148" s="246">
        <v>0</v>
      </c>
      <c r="L148" s="245">
        <v>0</v>
      </c>
      <c r="M148" s="245">
        <v>0</v>
      </c>
      <c r="N148" s="245">
        <v>0</v>
      </c>
      <c r="O148" s="246">
        <v>0</v>
      </c>
      <c r="P148" s="246">
        <v>0</v>
      </c>
      <c r="Q148" s="245">
        <v>0</v>
      </c>
      <c r="R148" s="246">
        <v>0</v>
      </c>
      <c r="S148" s="246">
        <v>0</v>
      </c>
      <c r="T148" s="246">
        <v>0</v>
      </c>
      <c r="U148" s="246">
        <v>0</v>
      </c>
      <c r="V148" s="247"/>
    </row>
    <row r="149" spans="1:22" ht="15.75" thickBot="1">
      <c r="A149" s="261"/>
      <c r="B149" s="262" t="s">
        <v>841</v>
      </c>
      <c r="C149" s="263">
        <v>0</v>
      </c>
      <c r="D149" s="264">
        <v>0</v>
      </c>
      <c r="E149" s="264">
        <v>0</v>
      </c>
      <c r="F149" s="264">
        <v>0</v>
      </c>
      <c r="G149" s="264">
        <v>0</v>
      </c>
      <c r="H149" s="264">
        <v>0</v>
      </c>
      <c r="I149" s="264">
        <v>0</v>
      </c>
      <c r="J149" s="265">
        <v>0</v>
      </c>
      <c r="K149" s="265">
        <v>0</v>
      </c>
      <c r="L149" s="264">
        <v>0</v>
      </c>
      <c r="M149" s="264">
        <v>0</v>
      </c>
      <c r="N149" s="264">
        <v>0</v>
      </c>
      <c r="O149" s="265">
        <v>0</v>
      </c>
      <c r="P149" s="265">
        <v>0</v>
      </c>
      <c r="Q149" s="264">
        <v>0</v>
      </c>
      <c r="R149" s="265">
        <v>0</v>
      </c>
      <c r="S149" s="265">
        <v>0</v>
      </c>
      <c r="T149" s="265">
        <v>0</v>
      </c>
      <c r="U149" s="265">
        <v>0</v>
      </c>
      <c r="V149" s="247"/>
    </row>
    <row r="150" spans="1:22">
      <c r="A150" s="238" t="s">
        <v>179</v>
      </c>
      <c r="B150" s="219" t="s">
        <v>806</v>
      </c>
      <c r="C150" s="239">
        <v>0.87082602922010921</v>
      </c>
      <c r="D150" s="240">
        <v>0.95472129237167114</v>
      </c>
      <c r="E150" s="240">
        <v>0.78578235020398901</v>
      </c>
      <c r="F150" s="240">
        <v>0.83191611893151984</v>
      </c>
      <c r="G150" s="240">
        <v>0.91568022354259748</v>
      </c>
      <c r="H150" s="240">
        <v>0.85561714708056169</v>
      </c>
      <c r="I150" s="240">
        <v>0</v>
      </c>
      <c r="J150" s="241">
        <v>0.84232534049468555</v>
      </c>
      <c r="K150" s="241">
        <v>0.6469085878471853</v>
      </c>
      <c r="L150" s="240">
        <v>0</v>
      </c>
      <c r="M150" s="240">
        <v>0</v>
      </c>
      <c r="N150" s="240">
        <v>0.52660764665823523</v>
      </c>
      <c r="O150" s="241">
        <v>0.6375717305949864</v>
      </c>
      <c r="P150" s="241">
        <v>0.67727248573176546</v>
      </c>
      <c r="Q150" s="240">
        <v>0</v>
      </c>
      <c r="R150" s="241">
        <v>0.67727248573176546</v>
      </c>
      <c r="S150" s="241">
        <v>0</v>
      </c>
      <c r="T150" s="241">
        <v>0</v>
      </c>
      <c r="U150" s="241">
        <v>0.79198104849817652</v>
      </c>
      <c r="V150" s="247"/>
    </row>
    <row r="151" spans="1:22">
      <c r="A151" s="242"/>
      <c r="B151" s="243" t="s">
        <v>807</v>
      </c>
      <c r="C151" s="244">
        <v>0.85857848517535507</v>
      </c>
      <c r="D151" s="245">
        <v>0.9504342029567806</v>
      </c>
      <c r="E151" s="245">
        <v>0.76291649046360266</v>
      </c>
      <c r="F151" s="245">
        <v>0.8040362959383055</v>
      </c>
      <c r="G151" s="245">
        <v>0.9032533342002389</v>
      </c>
      <c r="H151" s="245">
        <v>0.85098144654599073</v>
      </c>
      <c r="I151" s="245">
        <v>0</v>
      </c>
      <c r="J151" s="246">
        <v>0.82425096877257975</v>
      </c>
      <c r="K151" s="246">
        <v>0.66901538548037964</v>
      </c>
      <c r="L151" s="245">
        <v>0</v>
      </c>
      <c r="M151" s="245">
        <v>0</v>
      </c>
      <c r="N151" s="245">
        <v>0.47249362275593204</v>
      </c>
      <c r="O151" s="246">
        <v>0.65388022744627061</v>
      </c>
      <c r="P151" s="246">
        <v>0.66080643318978394</v>
      </c>
      <c r="Q151" s="245">
        <v>0</v>
      </c>
      <c r="R151" s="246">
        <v>0.66080643318978394</v>
      </c>
      <c r="S151" s="246">
        <v>0</v>
      </c>
      <c r="T151" s="246">
        <v>0</v>
      </c>
      <c r="U151" s="246">
        <v>0.77905130511737419</v>
      </c>
      <c r="V151" s="247"/>
    </row>
    <row r="152" spans="1:22">
      <c r="A152" s="242"/>
      <c r="B152" s="248" t="s">
        <v>808</v>
      </c>
      <c r="C152" s="249">
        <v>-1.2247544044754144</v>
      </c>
      <c r="D152" s="250">
        <v>-0.42870894148905325</v>
      </c>
      <c r="E152" s="250">
        <v>-2.2865859740386352</v>
      </c>
      <c r="F152" s="250">
        <v>-2.7879822993214343</v>
      </c>
      <c r="G152" s="250">
        <v>-1.2426889342358582</v>
      </c>
      <c r="H152" s="250">
        <v>-0.46357005345709634</v>
      </c>
      <c r="I152" s="250">
        <v>0</v>
      </c>
      <c r="J152" s="253">
        <v>-1.8074371722105798</v>
      </c>
      <c r="K152" s="253">
        <v>2.2106797633194342</v>
      </c>
      <c r="L152" s="250">
        <v>0</v>
      </c>
      <c r="M152" s="250">
        <v>0</v>
      </c>
      <c r="N152" s="250">
        <v>-5.411402390230319</v>
      </c>
      <c r="O152" s="253">
        <v>1.6308496851284215</v>
      </c>
      <c r="P152" s="253">
        <v>-1.6466052541981524</v>
      </c>
      <c r="Q152" s="250">
        <v>0</v>
      </c>
      <c r="R152" s="253">
        <v>-1.6466052541981524</v>
      </c>
      <c r="S152" s="253">
        <v>0</v>
      </c>
      <c r="T152" s="253">
        <v>0</v>
      </c>
      <c r="U152" s="253">
        <v>-1.2929743380802328</v>
      </c>
      <c r="V152" s="247"/>
    </row>
    <row r="153" spans="1:22">
      <c r="A153" s="242"/>
      <c r="B153" s="219" t="s">
        <v>809</v>
      </c>
      <c r="C153" s="239">
        <v>1.6707722282660258E-2</v>
      </c>
      <c r="D153" s="240">
        <v>3.2544642347107813E-2</v>
      </c>
      <c r="E153" s="240">
        <v>1.0022969304656505E-2</v>
      </c>
      <c r="F153" s="240">
        <v>2.0079522177238587E-2</v>
      </c>
      <c r="G153" s="240">
        <v>2.9554910721139821E-3</v>
      </c>
      <c r="H153" s="240">
        <v>2.5030303030303031E-2</v>
      </c>
      <c r="I153" s="240">
        <v>0</v>
      </c>
      <c r="J153" s="241">
        <v>1.7177861999375401E-2</v>
      </c>
      <c r="K153" s="241">
        <v>0.1335270667397942</v>
      </c>
      <c r="L153" s="240">
        <v>0</v>
      </c>
      <c r="M153" s="240">
        <v>0</v>
      </c>
      <c r="N153" s="240">
        <v>0.16665045237863604</v>
      </c>
      <c r="O153" s="241">
        <v>0.13609785563273935</v>
      </c>
      <c r="P153" s="241">
        <v>0</v>
      </c>
      <c r="Q153" s="240">
        <v>0</v>
      </c>
      <c r="R153" s="241">
        <v>0</v>
      </c>
      <c r="S153" s="241">
        <v>0</v>
      </c>
      <c r="T153" s="241">
        <v>0</v>
      </c>
      <c r="U153" s="241">
        <v>2.2152658134180415E-2</v>
      </c>
      <c r="V153" s="247"/>
    </row>
    <row r="154" spans="1:22">
      <c r="A154" s="242"/>
      <c r="B154" s="243" t="s">
        <v>810</v>
      </c>
      <c r="C154" s="244">
        <v>1.6631183587386578E-2</v>
      </c>
      <c r="D154" s="245">
        <v>3.4656335893197943E-2</v>
      </c>
      <c r="E154" s="245">
        <v>9.9245232324066575E-3</v>
      </c>
      <c r="F154" s="245">
        <v>1.9968417414982956E-2</v>
      </c>
      <c r="G154" s="245">
        <v>4.8438350820444887E-3</v>
      </c>
      <c r="H154" s="245">
        <v>1.0710450001403438E-2</v>
      </c>
      <c r="I154" s="245">
        <v>0</v>
      </c>
      <c r="J154" s="246">
        <v>1.5834342352970612E-2</v>
      </c>
      <c r="K154" s="246">
        <v>0.13816410375861946</v>
      </c>
      <c r="L154" s="245">
        <v>0</v>
      </c>
      <c r="M154" s="245">
        <v>0</v>
      </c>
      <c r="N154" s="245">
        <v>0.16828704817827406</v>
      </c>
      <c r="O154" s="246">
        <v>0.140484027607885</v>
      </c>
      <c r="P154" s="246">
        <v>0</v>
      </c>
      <c r="Q154" s="245">
        <v>0</v>
      </c>
      <c r="R154" s="246">
        <v>0</v>
      </c>
      <c r="S154" s="246">
        <v>0</v>
      </c>
      <c r="T154" s="246">
        <v>0</v>
      </c>
      <c r="U154" s="246">
        <v>1.9839595639336769E-2</v>
      </c>
      <c r="V154" s="247"/>
    </row>
    <row r="155" spans="1:22">
      <c r="A155" s="242"/>
      <c r="B155" s="248" t="s">
        <v>811</v>
      </c>
      <c r="C155" s="249">
        <v>-7.6538695273679902E-3</v>
      </c>
      <c r="D155" s="250">
        <v>0.21116935460901293</v>
      </c>
      <c r="E155" s="250">
        <v>-9.8446072249847028E-3</v>
      </c>
      <c r="F155" s="250">
        <v>-1.111047622556309E-2</v>
      </c>
      <c r="G155" s="250">
        <v>0.18883440099305066</v>
      </c>
      <c r="H155" s="250">
        <v>-1.4319853028899594</v>
      </c>
      <c r="I155" s="250">
        <v>0</v>
      </c>
      <c r="J155" s="253">
        <v>-0.13435196464047888</v>
      </c>
      <c r="K155" s="253">
        <v>0.46370370188252574</v>
      </c>
      <c r="L155" s="250">
        <v>0</v>
      </c>
      <c r="M155" s="250">
        <v>0</v>
      </c>
      <c r="N155" s="250">
        <v>0.16365957996380132</v>
      </c>
      <c r="O155" s="253">
        <v>0.43861719751456529</v>
      </c>
      <c r="P155" s="253">
        <v>0</v>
      </c>
      <c r="Q155" s="250">
        <v>0</v>
      </c>
      <c r="R155" s="253">
        <v>0</v>
      </c>
      <c r="S155" s="253">
        <v>0</v>
      </c>
      <c r="T155" s="253">
        <v>0</v>
      </c>
      <c r="U155" s="253">
        <v>-0.23130624948436462</v>
      </c>
      <c r="V155" s="247"/>
    </row>
    <row r="156" spans="1:22">
      <c r="A156" s="242"/>
      <c r="B156" s="219" t="s">
        <v>812</v>
      </c>
      <c r="C156" s="239">
        <v>0.11246624849723051</v>
      </c>
      <c r="D156" s="240">
        <v>1.273406528122108E-2</v>
      </c>
      <c r="E156" s="240">
        <v>0.20406059571797891</v>
      </c>
      <c r="F156" s="240">
        <v>0.14673255581380915</v>
      </c>
      <c r="G156" s="240">
        <v>8.1364285385288559E-2</v>
      </c>
      <c r="H156" s="240">
        <v>0.11699630450849963</v>
      </c>
      <c r="I156" s="240">
        <v>0</v>
      </c>
      <c r="J156" s="241">
        <v>0.13992697326422018</v>
      </c>
      <c r="K156" s="241">
        <v>0.21860331857139348</v>
      </c>
      <c r="L156" s="240">
        <v>0</v>
      </c>
      <c r="M156" s="240">
        <v>0</v>
      </c>
      <c r="N156" s="240">
        <v>0.3067419009631287</v>
      </c>
      <c r="O156" s="241">
        <v>0.22544397463002114</v>
      </c>
      <c r="P156" s="241">
        <v>0.31675257815162633</v>
      </c>
      <c r="Q156" s="240">
        <v>0</v>
      </c>
      <c r="R156" s="241">
        <v>0.31675257815162633</v>
      </c>
      <c r="S156" s="241">
        <v>0</v>
      </c>
      <c r="T156" s="241">
        <v>0</v>
      </c>
      <c r="U156" s="241">
        <v>0.18411315427188454</v>
      </c>
      <c r="V156" s="247"/>
    </row>
    <row r="157" spans="1:22">
      <c r="A157" s="242"/>
      <c r="B157" s="243" t="s">
        <v>813</v>
      </c>
      <c r="C157" s="244">
        <v>0.12479033123725838</v>
      </c>
      <c r="D157" s="245">
        <v>1.4909461150021459E-2</v>
      </c>
      <c r="E157" s="245">
        <v>0.22700844049703117</v>
      </c>
      <c r="F157" s="245">
        <v>0.17515278124220504</v>
      </c>
      <c r="G157" s="245">
        <v>9.1902830717716572E-2</v>
      </c>
      <c r="H157" s="245">
        <v>0.13466507314868026</v>
      </c>
      <c r="I157" s="245">
        <v>0</v>
      </c>
      <c r="J157" s="246">
        <v>0.15930040631205281</v>
      </c>
      <c r="K157" s="246">
        <v>0.18026232826374192</v>
      </c>
      <c r="L157" s="245">
        <v>0</v>
      </c>
      <c r="M157" s="245">
        <v>0</v>
      </c>
      <c r="N157" s="245">
        <v>0.3592193290657939</v>
      </c>
      <c r="O157" s="246">
        <v>0.19404473307682613</v>
      </c>
      <c r="P157" s="246">
        <v>0.33335520006753894</v>
      </c>
      <c r="Q157" s="245">
        <v>0</v>
      </c>
      <c r="R157" s="246">
        <v>0.33335520006753894</v>
      </c>
      <c r="S157" s="246">
        <v>0</v>
      </c>
      <c r="T157" s="246">
        <v>0</v>
      </c>
      <c r="U157" s="246">
        <v>0.19872158637592335</v>
      </c>
      <c r="V157" s="247"/>
    </row>
    <row r="158" spans="1:22">
      <c r="A158" s="242"/>
      <c r="B158" s="248" t="s">
        <v>814</v>
      </c>
      <c r="C158" s="249">
        <v>1.2324082740027873</v>
      </c>
      <c r="D158" s="250">
        <v>0.21753958688003788</v>
      </c>
      <c r="E158" s="250">
        <v>2.2947844779052264</v>
      </c>
      <c r="F158" s="250">
        <v>2.8420225428395893</v>
      </c>
      <c r="G158" s="250">
        <v>1.0538545332428013</v>
      </c>
      <c r="H158" s="250">
        <v>1.7668768640180632</v>
      </c>
      <c r="I158" s="250">
        <v>0</v>
      </c>
      <c r="J158" s="253">
        <v>1.9373433047832622</v>
      </c>
      <c r="K158" s="268">
        <v>-3.8340990307651563</v>
      </c>
      <c r="L158" s="252">
        <v>0</v>
      </c>
      <c r="M158" s="250">
        <v>0</v>
      </c>
      <c r="N158" s="250">
        <v>5.2477428102665202</v>
      </c>
      <c r="O158" s="253">
        <v>-3.139924155319501</v>
      </c>
      <c r="P158" s="253">
        <v>1.6602621915912608</v>
      </c>
      <c r="Q158" s="250">
        <v>0</v>
      </c>
      <c r="R158" s="253">
        <v>1.6602621915912608</v>
      </c>
      <c r="S158" s="253">
        <v>0</v>
      </c>
      <c r="T158" s="253">
        <v>0</v>
      </c>
      <c r="U158" s="253">
        <v>1.4608432104038811</v>
      </c>
      <c r="V158" s="247"/>
    </row>
    <row r="159" spans="1:22">
      <c r="A159" s="242"/>
      <c r="B159" s="219" t="s">
        <v>815</v>
      </c>
      <c r="C159" s="239">
        <v>0</v>
      </c>
      <c r="D159" s="240">
        <v>0</v>
      </c>
      <c r="E159" s="240">
        <v>1.2083528984040202E-4</v>
      </c>
      <c r="F159" s="240">
        <v>2.7036160865157147E-4</v>
      </c>
      <c r="G159" s="240">
        <v>0</v>
      </c>
      <c r="H159" s="240">
        <v>2.3562453806356244E-3</v>
      </c>
      <c r="I159" s="240">
        <v>0</v>
      </c>
      <c r="J159" s="241">
        <v>3.4180191578584356E-4</v>
      </c>
      <c r="K159" s="241">
        <v>2.3575445518618873E-4</v>
      </c>
      <c r="L159" s="240">
        <v>0</v>
      </c>
      <c r="M159" s="240">
        <v>0</v>
      </c>
      <c r="N159" s="240">
        <v>0</v>
      </c>
      <c r="O159" s="241">
        <v>2.1745696164300816E-4</v>
      </c>
      <c r="P159" s="241">
        <v>5.9749361166082059E-3</v>
      </c>
      <c r="Q159" s="240">
        <v>0</v>
      </c>
      <c r="R159" s="241">
        <v>5.9749361166082059E-3</v>
      </c>
      <c r="S159" s="241">
        <v>0</v>
      </c>
      <c r="T159" s="241">
        <v>0</v>
      </c>
      <c r="U159" s="241">
        <v>1.5419440233620471E-3</v>
      </c>
      <c r="V159" s="247"/>
    </row>
    <row r="160" spans="1:22">
      <c r="A160" s="242"/>
      <c r="B160" s="243" t="s">
        <v>816</v>
      </c>
      <c r="C160" s="244">
        <v>0</v>
      </c>
      <c r="D160" s="245">
        <v>0</v>
      </c>
      <c r="E160" s="245">
        <v>1.1918209717627294E-4</v>
      </c>
      <c r="F160" s="245">
        <v>1.6109586763116322E-4</v>
      </c>
      <c r="G160" s="245">
        <v>0</v>
      </c>
      <c r="H160" s="254">
        <v>3.6430303039256384E-3</v>
      </c>
      <c r="I160" s="245">
        <v>0</v>
      </c>
      <c r="J160" s="246">
        <v>4.4611683499666777E-4</v>
      </c>
      <c r="K160" s="246">
        <v>0</v>
      </c>
      <c r="L160" s="245">
        <v>0</v>
      </c>
      <c r="M160" s="254">
        <v>0</v>
      </c>
      <c r="N160" s="245">
        <v>0</v>
      </c>
      <c r="O160" s="246">
        <v>0</v>
      </c>
      <c r="P160" s="246">
        <v>5.8383667426770754E-3</v>
      </c>
      <c r="Q160" s="245">
        <v>0</v>
      </c>
      <c r="R160" s="246">
        <v>5.8383667426770754E-3</v>
      </c>
      <c r="S160" s="246">
        <v>0</v>
      </c>
      <c r="T160" s="246">
        <v>0</v>
      </c>
      <c r="U160" s="246">
        <v>1.5769606153178128E-3</v>
      </c>
      <c r="V160" s="247"/>
    </row>
    <row r="161" spans="1:22">
      <c r="A161" s="242"/>
      <c r="B161" s="248" t="s">
        <v>817</v>
      </c>
      <c r="C161" s="249">
        <v>0</v>
      </c>
      <c r="D161" s="250">
        <v>0</v>
      </c>
      <c r="E161" s="250">
        <v>-1.6531926641290821E-4</v>
      </c>
      <c r="F161" s="250">
        <v>-1.0926574102040825E-2</v>
      </c>
      <c r="G161" s="250">
        <v>0</v>
      </c>
      <c r="H161" s="250">
        <v>0.12867849232900139</v>
      </c>
      <c r="I161" s="250">
        <v>0</v>
      </c>
      <c r="J161" s="253">
        <v>1.043149192108242E-2</v>
      </c>
      <c r="K161" s="253">
        <v>-2.3575445518618874E-2</v>
      </c>
      <c r="L161" s="250">
        <v>0</v>
      </c>
      <c r="M161" s="252">
        <v>0</v>
      </c>
      <c r="N161" s="250">
        <v>0</v>
      </c>
      <c r="O161" s="253">
        <v>-2.1745696164300814E-2</v>
      </c>
      <c r="P161" s="253">
        <v>-1.3656937393113043E-2</v>
      </c>
      <c r="Q161" s="250">
        <v>0</v>
      </c>
      <c r="R161" s="253">
        <v>-1.3656937393113043E-2</v>
      </c>
      <c r="S161" s="253">
        <v>0</v>
      </c>
      <c r="T161" s="253">
        <v>0</v>
      </c>
      <c r="U161" s="253">
        <v>3.5016591955765782E-3</v>
      </c>
      <c r="V161" s="247"/>
    </row>
    <row r="162" spans="1:22">
      <c r="A162" s="242"/>
      <c r="B162" s="219" t="s">
        <v>818</v>
      </c>
      <c r="C162" s="239">
        <v>0</v>
      </c>
      <c r="D162" s="240">
        <v>0</v>
      </c>
      <c r="E162" s="240">
        <v>1.32494835351318E-5</v>
      </c>
      <c r="F162" s="240">
        <v>1.0014414687808209E-3</v>
      </c>
      <c r="G162" s="240">
        <v>0</v>
      </c>
      <c r="H162" s="240">
        <v>0</v>
      </c>
      <c r="I162" s="240">
        <v>0</v>
      </c>
      <c r="J162" s="241">
        <v>2.2802232593301309E-4</v>
      </c>
      <c r="K162" s="241">
        <v>7.252723864408445E-4</v>
      </c>
      <c r="L162" s="240">
        <v>0</v>
      </c>
      <c r="M162" s="240">
        <v>0</v>
      </c>
      <c r="N162" s="240">
        <v>0</v>
      </c>
      <c r="O162" s="241">
        <v>6.6898218061008758E-4</v>
      </c>
      <c r="P162" s="241">
        <v>0</v>
      </c>
      <c r="Q162" s="240">
        <v>0</v>
      </c>
      <c r="R162" s="241">
        <v>0</v>
      </c>
      <c r="S162" s="241">
        <v>0</v>
      </c>
      <c r="T162" s="241">
        <v>0</v>
      </c>
      <c r="U162" s="241">
        <v>2.1119507239657085E-4</v>
      </c>
      <c r="V162" s="247"/>
    </row>
    <row r="163" spans="1:22">
      <c r="A163" s="242"/>
      <c r="B163" s="243" t="s">
        <v>819</v>
      </c>
      <c r="C163" s="244">
        <v>0</v>
      </c>
      <c r="D163" s="245">
        <v>0</v>
      </c>
      <c r="E163" s="245">
        <v>3.136370978322972E-5</v>
      </c>
      <c r="F163" s="245">
        <v>6.8140953687536373E-4</v>
      </c>
      <c r="G163" s="245">
        <v>0</v>
      </c>
      <c r="H163" s="245">
        <v>0</v>
      </c>
      <c r="I163" s="245">
        <v>0</v>
      </c>
      <c r="J163" s="246">
        <v>1.681657274001715E-4</v>
      </c>
      <c r="K163" s="246">
        <v>1.2558182497259048E-2</v>
      </c>
      <c r="L163" s="254">
        <v>0</v>
      </c>
      <c r="M163" s="245">
        <v>0</v>
      </c>
      <c r="N163" s="245">
        <v>0</v>
      </c>
      <c r="O163" s="246">
        <v>1.1591011869018231E-2</v>
      </c>
      <c r="P163" s="246">
        <v>0</v>
      </c>
      <c r="Q163" s="245">
        <v>0</v>
      </c>
      <c r="R163" s="246">
        <v>0</v>
      </c>
      <c r="S163" s="246">
        <v>0</v>
      </c>
      <c r="T163" s="246">
        <v>0</v>
      </c>
      <c r="U163" s="246">
        <v>8.1055225204782237E-4</v>
      </c>
      <c r="V163" s="247"/>
    </row>
    <row r="164" spans="1:22">
      <c r="A164" s="242"/>
      <c r="B164" s="248" t="s">
        <v>820</v>
      </c>
      <c r="C164" s="249">
        <v>0</v>
      </c>
      <c r="D164" s="250">
        <v>0</v>
      </c>
      <c r="E164" s="250">
        <v>1.811422624809792E-3</v>
      </c>
      <c r="F164" s="250">
        <v>-3.200319319054571E-2</v>
      </c>
      <c r="G164" s="250">
        <v>0</v>
      </c>
      <c r="H164" s="250">
        <v>0</v>
      </c>
      <c r="I164" s="250">
        <v>0</v>
      </c>
      <c r="J164" s="253">
        <v>-5.9856598532841594E-3</v>
      </c>
      <c r="K164" s="253">
        <v>1.1832910110818204</v>
      </c>
      <c r="L164" s="252">
        <v>0</v>
      </c>
      <c r="M164" s="250">
        <v>0</v>
      </c>
      <c r="N164" s="250">
        <v>0</v>
      </c>
      <c r="O164" s="253">
        <v>1.0922029688408144</v>
      </c>
      <c r="P164" s="253">
        <v>0</v>
      </c>
      <c r="Q164" s="250">
        <v>0</v>
      </c>
      <c r="R164" s="253">
        <v>0</v>
      </c>
      <c r="S164" s="253">
        <v>0</v>
      </c>
      <c r="T164" s="253">
        <v>0</v>
      </c>
      <c r="U164" s="253">
        <v>5.993571796512516E-2</v>
      </c>
      <c r="V164" s="247"/>
    </row>
    <row r="165" spans="1:22">
      <c r="A165" s="242"/>
      <c r="B165" s="219" t="s">
        <v>821</v>
      </c>
      <c r="C165" s="239">
        <v>0</v>
      </c>
      <c r="D165" s="240">
        <v>0</v>
      </c>
      <c r="E165" s="240">
        <v>0</v>
      </c>
      <c r="F165" s="240">
        <v>0</v>
      </c>
      <c r="G165" s="240">
        <v>0</v>
      </c>
      <c r="H165" s="240">
        <v>0</v>
      </c>
      <c r="I165" s="240">
        <v>0</v>
      </c>
      <c r="J165" s="241">
        <v>0</v>
      </c>
      <c r="K165" s="241">
        <v>0</v>
      </c>
      <c r="L165" s="240">
        <v>0</v>
      </c>
      <c r="M165" s="240">
        <v>0</v>
      </c>
      <c r="N165" s="240">
        <v>0</v>
      </c>
      <c r="O165" s="241">
        <v>0</v>
      </c>
      <c r="P165" s="241">
        <v>0</v>
      </c>
      <c r="Q165" s="240">
        <v>0</v>
      </c>
      <c r="R165" s="241">
        <v>0</v>
      </c>
      <c r="S165" s="241">
        <v>0</v>
      </c>
      <c r="T165" s="241">
        <v>0</v>
      </c>
      <c r="U165" s="241">
        <v>0</v>
      </c>
      <c r="V165" s="247"/>
    </row>
    <row r="166" spans="1:22">
      <c r="A166" s="242"/>
      <c r="B166" s="243" t="s">
        <v>822</v>
      </c>
      <c r="C166" s="244">
        <v>0</v>
      </c>
      <c r="D166" s="245">
        <v>0</v>
      </c>
      <c r="E166" s="245">
        <v>0</v>
      </c>
      <c r="F166" s="245">
        <v>0</v>
      </c>
      <c r="G166" s="245">
        <v>0</v>
      </c>
      <c r="H166" s="245">
        <v>0</v>
      </c>
      <c r="I166" s="245">
        <v>0</v>
      </c>
      <c r="J166" s="246">
        <v>0</v>
      </c>
      <c r="K166" s="246">
        <v>0</v>
      </c>
      <c r="L166" s="245">
        <v>0</v>
      </c>
      <c r="M166" s="245">
        <v>0</v>
      </c>
      <c r="N166" s="245">
        <v>0</v>
      </c>
      <c r="O166" s="246">
        <v>0</v>
      </c>
      <c r="P166" s="246">
        <v>0</v>
      </c>
      <c r="Q166" s="245">
        <v>0</v>
      </c>
      <c r="R166" s="246">
        <v>0</v>
      </c>
      <c r="S166" s="246">
        <v>0</v>
      </c>
      <c r="T166" s="246">
        <v>0</v>
      </c>
      <c r="U166" s="246">
        <v>0</v>
      </c>
      <c r="V166" s="247"/>
    </row>
    <row r="167" spans="1:22" ht="15.75" thickBot="1">
      <c r="A167" s="242"/>
      <c r="B167" s="257" t="s">
        <v>823</v>
      </c>
      <c r="C167" s="258">
        <v>0</v>
      </c>
      <c r="D167" s="259">
        <v>0</v>
      </c>
      <c r="E167" s="259">
        <v>0</v>
      </c>
      <c r="F167" s="259">
        <v>0</v>
      </c>
      <c r="G167" s="259">
        <v>0</v>
      </c>
      <c r="H167" s="259">
        <v>0</v>
      </c>
      <c r="I167" s="259">
        <v>0</v>
      </c>
      <c r="J167" s="260">
        <v>0</v>
      </c>
      <c r="K167" s="260">
        <v>0</v>
      </c>
      <c r="L167" s="259">
        <v>0</v>
      </c>
      <c r="M167" s="259">
        <v>0</v>
      </c>
      <c r="N167" s="259">
        <v>0</v>
      </c>
      <c r="O167" s="260">
        <v>0</v>
      </c>
      <c r="P167" s="260">
        <v>0</v>
      </c>
      <c r="Q167" s="259">
        <v>0</v>
      </c>
      <c r="R167" s="260">
        <v>0</v>
      </c>
      <c r="S167" s="260">
        <v>0</v>
      </c>
      <c r="T167" s="260">
        <v>0</v>
      </c>
      <c r="U167" s="260">
        <v>0</v>
      </c>
      <c r="V167" s="247"/>
    </row>
    <row r="168" spans="1:22" ht="15.75" thickTop="1">
      <c r="A168" s="242"/>
      <c r="B168" s="243" t="s">
        <v>824</v>
      </c>
      <c r="C168" s="244">
        <v>0.73384552731496178</v>
      </c>
      <c r="D168" s="245">
        <v>0.87965633530819087</v>
      </c>
      <c r="E168" s="245">
        <v>0.3485897614730088</v>
      </c>
      <c r="F168" s="245">
        <v>0.73420236346916645</v>
      </c>
      <c r="G168" s="245">
        <v>0.56402199528672425</v>
      </c>
      <c r="H168" s="245">
        <v>0</v>
      </c>
      <c r="I168" s="245">
        <v>0</v>
      </c>
      <c r="J168" s="246">
        <v>0.70980718560781708</v>
      </c>
      <c r="K168" s="246">
        <v>0</v>
      </c>
      <c r="L168" s="245">
        <v>0</v>
      </c>
      <c r="M168" s="245">
        <v>0</v>
      </c>
      <c r="N168" s="245">
        <v>0</v>
      </c>
      <c r="O168" s="246">
        <v>0</v>
      </c>
      <c r="P168" s="246">
        <v>0</v>
      </c>
      <c r="Q168" s="245">
        <v>0</v>
      </c>
      <c r="R168" s="246">
        <v>0</v>
      </c>
      <c r="S168" s="246">
        <v>0</v>
      </c>
      <c r="T168" s="246">
        <v>0</v>
      </c>
      <c r="U168" s="246">
        <v>0.70980718560781708</v>
      </c>
      <c r="V168" s="247"/>
    </row>
    <row r="169" spans="1:22">
      <c r="A169" s="242"/>
      <c r="B169" s="243" t="s">
        <v>825</v>
      </c>
      <c r="C169" s="244">
        <v>0.69371474539583178</v>
      </c>
      <c r="D169" s="245">
        <v>0.87482119492938437</v>
      </c>
      <c r="E169" s="245">
        <v>0.33502580555168082</v>
      </c>
      <c r="F169" s="245">
        <v>0.7484970971328182</v>
      </c>
      <c r="G169" s="245">
        <v>0.50536789735532861</v>
      </c>
      <c r="H169" s="245">
        <v>8.9775561097256859E-2</v>
      </c>
      <c r="I169" s="245">
        <v>0</v>
      </c>
      <c r="J169" s="246">
        <v>0.69426817161892407</v>
      </c>
      <c r="K169" s="246">
        <v>0</v>
      </c>
      <c r="L169" s="245">
        <v>0</v>
      </c>
      <c r="M169" s="245">
        <v>0</v>
      </c>
      <c r="N169" s="245">
        <v>0</v>
      </c>
      <c r="O169" s="246">
        <v>0</v>
      </c>
      <c r="P169" s="246">
        <v>0</v>
      </c>
      <c r="Q169" s="245">
        <v>0</v>
      </c>
      <c r="R169" s="246">
        <v>0</v>
      </c>
      <c r="S169" s="246">
        <v>0</v>
      </c>
      <c r="T169" s="246">
        <v>0</v>
      </c>
      <c r="U169" s="246">
        <v>0.69426817161892407</v>
      </c>
      <c r="V169" s="247"/>
    </row>
    <row r="170" spans="1:22">
      <c r="A170" s="242"/>
      <c r="B170" s="248" t="s">
        <v>826</v>
      </c>
      <c r="C170" s="249">
        <v>-4.0130781919129994</v>
      </c>
      <c r="D170" s="252">
        <v>-0.48351403788065017</v>
      </c>
      <c r="E170" s="250">
        <v>-1.3563955921327975</v>
      </c>
      <c r="F170" s="250">
        <v>1.4294733663651749</v>
      </c>
      <c r="G170" s="250">
        <v>-5.8654097931395643</v>
      </c>
      <c r="H170" s="250">
        <v>0</v>
      </c>
      <c r="I170" s="250">
        <v>0</v>
      </c>
      <c r="J170" s="253">
        <v>-1.5539013988893013</v>
      </c>
      <c r="K170" s="253">
        <v>0</v>
      </c>
      <c r="L170" s="250">
        <v>0</v>
      </c>
      <c r="M170" s="250">
        <v>0</v>
      </c>
      <c r="N170" s="250">
        <v>0</v>
      </c>
      <c r="O170" s="253">
        <v>0</v>
      </c>
      <c r="P170" s="253">
        <v>0</v>
      </c>
      <c r="Q170" s="250">
        <v>0</v>
      </c>
      <c r="R170" s="253">
        <v>0</v>
      </c>
      <c r="S170" s="253">
        <v>0</v>
      </c>
      <c r="T170" s="253">
        <v>0</v>
      </c>
      <c r="U170" s="253">
        <v>-1.5539013988893013</v>
      </c>
      <c r="V170" s="247"/>
    </row>
    <row r="171" spans="1:22">
      <c r="A171" s="242"/>
      <c r="B171" s="219" t="s">
        <v>827</v>
      </c>
      <c r="C171" s="239">
        <v>0.22189371923616699</v>
      </c>
      <c r="D171" s="240">
        <v>9.6415642594463811E-3</v>
      </c>
      <c r="E171" s="240">
        <v>1.5533547217185103E-2</v>
      </c>
      <c r="F171" s="240">
        <v>7.9104846347053892E-2</v>
      </c>
      <c r="G171" s="240">
        <v>0.31736056559308717</v>
      </c>
      <c r="H171" s="240">
        <v>0</v>
      </c>
      <c r="I171" s="240">
        <v>0</v>
      </c>
      <c r="J171" s="241">
        <v>0.11107358008102355</v>
      </c>
      <c r="K171" s="241">
        <v>0</v>
      </c>
      <c r="L171" s="240">
        <v>0</v>
      </c>
      <c r="M171" s="240">
        <v>0</v>
      </c>
      <c r="N171" s="240">
        <v>0</v>
      </c>
      <c r="O171" s="241">
        <v>0</v>
      </c>
      <c r="P171" s="241">
        <v>0</v>
      </c>
      <c r="Q171" s="240">
        <v>0</v>
      </c>
      <c r="R171" s="241">
        <v>0</v>
      </c>
      <c r="S171" s="241">
        <v>0</v>
      </c>
      <c r="T171" s="241">
        <v>0</v>
      </c>
      <c r="U171" s="241">
        <v>0.11107358008102355</v>
      </c>
      <c r="V171" s="247"/>
    </row>
    <row r="172" spans="1:22">
      <c r="A172" s="242"/>
      <c r="B172" s="243" t="s">
        <v>828</v>
      </c>
      <c r="C172" s="244">
        <v>0.26856513504712642</v>
      </c>
      <c r="D172" s="245">
        <v>1.6702233246166796E-2</v>
      </c>
      <c r="E172" s="245">
        <v>1.3904310224578045E-2</v>
      </c>
      <c r="F172" s="245">
        <v>6.8515900575083374E-2</v>
      </c>
      <c r="G172" s="245">
        <v>0.31421838177533384</v>
      </c>
      <c r="H172" s="245">
        <v>0</v>
      </c>
      <c r="I172" s="245">
        <v>0</v>
      </c>
      <c r="J172" s="246">
        <v>0.12825410470255574</v>
      </c>
      <c r="K172" s="246">
        <v>0</v>
      </c>
      <c r="L172" s="245">
        <v>0</v>
      </c>
      <c r="M172" s="245">
        <v>0</v>
      </c>
      <c r="N172" s="245">
        <v>0</v>
      </c>
      <c r="O172" s="246">
        <v>0</v>
      </c>
      <c r="P172" s="246">
        <v>0</v>
      </c>
      <c r="Q172" s="245">
        <v>0</v>
      </c>
      <c r="R172" s="246">
        <v>0</v>
      </c>
      <c r="S172" s="246">
        <v>0</v>
      </c>
      <c r="T172" s="246">
        <v>0</v>
      </c>
      <c r="U172" s="246">
        <v>0.12825410470255574</v>
      </c>
      <c r="V172" s="247"/>
    </row>
    <row r="173" spans="1:22">
      <c r="A173" s="242"/>
      <c r="B173" s="248" t="s">
        <v>829</v>
      </c>
      <c r="C173" s="249">
        <v>4.6671415810959429</v>
      </c>
      <c r="D173" s="250">
        <v>0.70606689867204142</v>
      </c>
      <c r="E173" s="250">
        <v>-0.16292369926070582</v>
      </c>
      <c r="F173" s="250">
        <v>-1.0588945771970517</v>
      </c>
      <c r="G173" s="252">
        <v>-0.31421838177533301</v>
      </c>
      <c r="H173" s="250">
        <v>0</v>
      </c>
      <c r="I173" s="250">
        <v>0</v>
      </c>
      <c r="J173" s="253">
        <v>1.7180524621532189</v>
      </c>
      <c r="K173" s="253">
        <v>0</v>
      </c>
      <c r="L173" s="250">
        <v>0</v>
      </c>
      <c r="M173" s="250">
        <v>0</v>
      </c>
      <c r="N173" s="250">
        <v>0</v>
      </c>
      <c r="O173" s="253">
        <v>0</v>
      </c>
      <c r="P173" s="253">
        <v>0</v>
      </c>
      <c r="Q173" s="250">
        <v>0</v>
      </c>
      <c r="R173" s="253">
        <v>0</v>
      </c>
      <c r="S173" s="253">
        <v>0</v>
      </c>
      <c r="T173" s="253">
        <v>0</v>
      </c>
      <c r="U173" s="253">
        <v>1.7180524621532189</v>
      </c>
      <c r="V173" s="247"/>
    </row>
    <row r="174" spans="1:22">
      <c r="A174" s="242"/>
      <c r="B174" s="219" t="s">
        <v>830</v>
      </c>
      <c r="C174" s="239">
        <v>4.4260753448871239E-2</v>
      </c>
      <c r="D174" s="240">
        <v>0.11070210043236278</v>
      </c>
      <c r="E174" s="240">
        <v>0.63575952015622816</v>
      </c>
      <c r="F174" s="240">
        <v>0.1866001454864876</v>
      </c>
      <c r="G174" s="240">
        <v>0.11861743912018853</v>
      </c>
      <c r="H174" s="240">
        <v>1</v>
      </c>
      <c r="I174" s="240">
        <v>0</v>
      </c>
      <c r="J174" s="241">
        <v>0.1790805849547879</v>
      </c>
      <c r="K174" s="241">
        <v>0</v>
      </c>
      <c r="L174" s="240">
        <v>0</v>
      </c>
      <c r="M174" s="240">
        <v>0</v>
      </c>
      <c r="N174" s="240">
        <v>0</v>
      </c>
      <c r="O174" s="241">
        <v>0</v>
      </c>
      <c r="P174" s="241">
        <v>0</v>
      </c>
      <c r="Q174" s="240">
        <v>0</v>
      </c>
      <c r="R174" s="241">
        <v>0</v>
      </c>
      <c r="S174" s="241">
        <v>0</v>
      </c>
      <c r="T174" s="241">
        <v>0</v>
      </c>
      <c r="U174" s="241">
        <v>0.1790805849547879</v>
      </c>
      <c r="V174" s="247"/>
    </row>
    <row r="175" spans="1:22">
      <c r="A175" s="242"/>
      <c r="B175" s="243" t="s">
        <v>831</v>
      </c>
      <c r="C175" s="244">
        <v>5.2701967819010848E-2</v>
      </c>
      <c r="D175" s="245">
        <v>0.20433583226693422</v>
      </c>
      <c r="E175" s="245">
        <v>0.67737201841260986</v>
      </c>
      <c r="F175" s="245">
        <v>0.21388915576661771</v>
      </c>
      <c r="G175" s="245">
        <v>0.2356637863315004</v>
      </c>
      <c r="H175" s="245">
        <v>1.4655029093931837</v>
      </c>
      <c r="I175" s="245">
        <v>0</v>
      </c>
      <c r="J175" s="246">
        <v>0.21661836973310927</v>
      </c>
      <c r="K175" s="246">
        <v>0</v>
      </c>
      <c r="L175" s="245">
        <v>0</v>
      </c>
      <c r="M175" s="245">
        <v>0</v>
      </c>
      <c r="N175" s="245">
        <v>0</v>
      </c>
      <c r="O175" s="246">
        <v>0</v>
      </c>
      <c r="P175" s="246">
        <v>0</v>
      </c>
      <c r="Q175" s="245">
        <v>0</v>
      </c>
      <c r="R175" s="246">
        <v>0</v>
      </c>
      <c r="S175" s="246">
        <v>0</v>
      </c>
      <c r="T175" s="246">
        <v>0</v>
      </c>
      <c r="U175" s="246">
        <v>0.21661836973310927</v>
      </c>
      <c r="V175" s="247"/>
    </row>
    <row r="176" spans="1:22">
      <c r="A176" s="242"/>
      <c r="B176" s="248" t="s">
        <v>832</v>
      </c>
      <c r="C176" s="249">
        <v>0.84412143701396092</v>
      </c>
      <c r="D176" s="252">
        <v>9.3633731834571439</v>
      </c>
      <c r="E176" s="250">
        <v>4.1612498256381691</v>
      </c>
      <c r="F176" s="250">
        <v>2.7289010280130115</v>
      </c>
      <c r="G176" s="252">
        <v>11.704634721131187</v>
      </c>
      <c r="H176" s="250">
        <v>46.550290939318373</v>
      </c>
      <c r="I176" s="250">
        <v>0</v>
      </c>
      <c r="J176" s="253">
        <v>3.753778477832137</v>
      </c>
      <c r="K176" s="253">
        <v>0</v>
      </c>
      <c r="L176" s="250">
        <v>0</v>
      </c>
      <c r="M176" s="250">
        <v>0</v>
      </c>
      <c r="N176" s="250">
        <v>0</v>
      </c>
      <c r="O176" s="253">
        <v>0</v>
      </c>
      <c r="P176" s="253">
        <v>0</v>
      </c>
      <c r="Q176" s="250">
        <v>0</v>
      </c>
      <c r="R176" s="253">
        <v>0</v>
      </c>
      <c r="S176" s="253">
        <v>0</v>
      </c>
      <c r="T176" s="253">
        <v>0</v>
      </c>
      <c r="U176" s="253">
        <v>3.753778477832137</v>
      </c>
      <c r="V176" s="247"/>
    </row>
    <row r="177" spans="1:22">
      <c r="A177" s="242"/>
      <c r="B177" s="219" t="s">
        <v>833</v>
      </c>
      <c r="C177" s="239">
        <v>0</v>
      </c>
      <c r="D177" s="240">
        <v>0</v>
      </c>
      <c r="E177" s="240">
        <v>1.0043241735248989E-4</v>
      </c>
      <c r="F177" s="240">
        <v>0</v>
      </c>
      <c r="G177" s="240">
        <v>0</v>
      </c>
      <c r="H177" s="240">
        <v>0</v>
      </c>
      <c r="I177" s="240">
        <v>0</v>
      </c>
      <c r="J177" s="241">
        <v>1.4493508639298681E-5</v>
      </c>
      <c r="K177" s="241">
        <v>0</v>
      </c>
      <c r="L177" s="240">
        <v>0</v>
      </c>
      <c r="M177" s="240">
        <v>0</v>
      </c>
      <c r="N177" s="240">
        <v>0</v>
      </c>
      <c r="O177" s="241">
        <v>0</v>
      </c>
      <c r="P177" s="241">
        <v>0</v>
      </c>
      <c r="Q177" s="240">
        <v>0</v>
      </c>
      <c r="R177" s="241">
        <v>0</v>
      </c>
      <c r="S177" s="241">
        <v>0</v>
      </c>
      <c r="T177" s="241">
        <v>0</v>
      </c>
      <c r="U177" s="241">
        <v>1.4493508639298681E-5</v>
      </c>
      <c r="V177" s="247"/>
    </row>
    <row r="178" spans="1:22">
      <c r="A178" s="242"/>
      <c r="B178" s="243" t="s">
        <v>834</v>
      </c>
      <c r="C178" s="244">
        <v>0</v>
      </c>
      <c r="D178" s="245">
        <v>0</v>
      </c>
      <c r="E178" s="245">
        <v>1.1717115357790486E-4</v>
      </c>
      <c r="F178" s="245">
        <v>0</v>
      </c>
      <c r="G178" s="245">
        <v>0</v>
      </c>
      <c r="H178" s="245">
        <v>0</v>
      </c>
      <c r="I178" s="245">
        <v>0</v>
      </c>
      <c r="J178" s="246">
        <v>1.6909093412515126E-5</v>
      </c>
      <c r="K178" s="246">
        <v>0</v>
      </c>
      <c r="L178" s="245">
        <v>0</v>
      </c>
      <c r="M178" s="245">
        <v>0</v>
      </c>
      <c r="N178" s="245">
        <v>0</v>
      </c>
      <c r="O178" s="246">
        <v>0</v>
      </c>
      <c r="P178" s="246">
        <v>0</v>
      </c>
      <c r="Q178" s="245">
        <v>0</v>
      </c>
      <c r="R178" s="246">
        <v>0</v>
      </c>
      <c r="S178" s="246">
        <v>0</v>
      </c>
      <c r="T178" s="246">
        <v>0</v>
      </c>
      <c r="U178" s="246">
        <v>1.6909093412515126E-5</v>
      </c>
      <c r="V178" s="247"/>
    </row>
    <row r="179" spans="1:22">
      <c r="A179" s="242"/>
      <c r="B179" s="248" t="s">
        <v>835</v>
      </c>
      <c r="C179" s="249">
        <v>0</v>
      </c>
      <c r="D179" s="250">
        <v>0</v>
      </c>
      <c r="E179" s="250">
        <v>1.6738736225414971E-3</v>
      </c>
      <c r="F179" s="250">
        <v>0</v>
      </c>
      <c r="G179" s="250">
        <v>0</v>
      </c>
      <c r="H179" s="250">
        <v>0</v>
      </c>
      <c r="I179" s="250">
        <v>0</v>
      </c>
      <c r="J179" s="253">
        <v>2.4155847732164456E-4</v>
      </c>
      <c r="K179" s="253">
        <v>0</v>
      </c>
      <c r="L179" s="250">
        <v>0</v>
      </c>
      <c r="M179" s="250">
        <v>0</v>
      </c>
      <c r="N179" s="250">
        <v>0</v>
      </c>
      <c r="O179" s="253">
        <v>0</v>
      </c>
      <c r="P179" s="253">
        <v>0</v>
      </c>
      <c r="Q179" s="250">
        <v>0</v>
      </c>
      <c r="R179" s="253">
        <v>0</v>
      </c>
      <c r="S179" s="253">
        <v>0</v>
      </c>
      <c r="T179" s="253">
        <v>0</v>
      </c>
      <c r="U179" s="253">
        <v>2.4155847732164456E-4</v>
      </c>
      <c r="V179" s="247"/>
    </row>
    <row r="180" spans="1:22">
      <c r="A180" s="242"/>
      <c r="B180" s="219" t="s">
        <v>836</v>
      </c>
      <c r="C180" s="239">
        <v>0</v>
      </c>
      <c r="D180" s="240">
        <v>0</v>
      </c>
      <c r="E180" s="240">
        <v>1.6738736225414981E-5</v>
      </c>
      <c r="F180" s="240">
        <v>9.264469729202981E-5</v>
      </c>
      <c r="G180" s="240">
        <v>0</v>
      </c>
      <c r="H180" s="240">
        <v>0</v>
      </c>
      <c r="I180" s="240">
        <v>0</v>
      </c>
      <c r="J180" s="241">
        <v>2.415584773216447E-5</v>
      </c>
      <c r="K180" s="241">
        <v>0</v>
      </c>
      <c r="L180" s="240">
        <v>0</v>
      </c>
      <c r="M180" s="240">
        <v>0</v>
      </c>
      <c r="N180" s="240">
        <v>0</v>
      </c>
      <c r="O180" s="241">
        <v>0</v>
      </c>
      <c r="P180" s="241">
        <v>0</v>
      </c>
      <c r="Q180" s="240">
        <v>0</v>
      </c>
      <c r="R180" s="241">
        <v>0</v>
      </c>
      <c r="S180" s="241">
        <v>0</v>
      </c>
      <c r="T180" s="241">
        <v>0</v>
      </c>
      <c r="U180" s="241">
        <v>2.415584773216447E-5</v>
      </c>
      <c r="V180" s="247"/>
    </row>
    <row r="181" spans="1:22">
      <c r="A181" s="242"/>
      <c r="B181" s="243" t="s">
        <v>837</v>
      </c>
      <c r="C181" s="244">
        <v>0</v>
      </c>
      <c r="D181" s="245">
        <v>0</v>
      </c>
      <c r="E181" s="245">
        <v>3.2919514576649464E-4</v>
      </c>
      <c r="F181" s="245">
        <v>1.3382011831070972E-4</v>
      </c>
      <c r="G181" s="245">
        <v>0</v>
      </c>
      <c r="H181" s="245">
        <v>0</v>
      </c>
      <c r="I181" s="245">
        <v>0</v>
      </c>
      <c r="J181" s="246">
        <v>7.890910259173727E-5</v>
      </c>
      <c r="K181" s="246">
        <v>0</v>
      </c>
      <c r="L181" s="245">
        <v>0</v>
      </c>
      <c r="M181" s="245">
        <v>0</v>
      </c>
      <c r="N181" s="245">
        <v>0</v>
      </c>
      <c r="O181" s="246">
        <v>0</v>
      </c>
      <c r="P181" s="246">
        <v>0</v>
      </c>
      <c r="Q181" s="245">
        <v>0</v>
      </c>
      <c r="R181" s="246">
        <v>0</v>
      </c>
      <c r="S181" s="246">
        <v>0</v>
      </c>
      <c r="T181" s="246">
        <v>0</v>
      </c>
      <c r="U181" s="246">
        <v>7.890910259173727E-5</v>
      </c>
      <c r="V181" s="247"/>
    </row>
    <row r="182" spans="1:22">
      <c r="A182" s="242"/>
      <c r="B182" s="248" t="s">
        <v>838</v>
      </c>
      <c r="C182" s="249">
        <v>0</v>
      </c>
      <c r="D182" s="250">
        <v>0</v>
      </c>
      <c r="E182" s="250">
        <v>3.1245640954107968E-2</v>
      </c>
      <c r="F182" s="250">
        <v>4.1175421018679907E-3</v>
      </c>
      <c r="G182" s="250">
        <v>0</v>
      </c>
      <c r="H182" s="250">
        <v>0</v>
      </c>
      <c r="I182" s="250">
        <v>0</v>
      </c>
      <c r="J182" s="253">
        <v>5.4753254859572801E-3</v>
      </c>
      <c r="K182" s="253">
        <v>0</v>
      </c>
      <c r="L182" s="250">
        <v>0</v>
      </c>
      <c r="M182" s="250">
        <v>0</v>
      </c>
      <c r="N182" s="250">
        <v>0</v>
      </c>
      <c r="O182" s="253">
        <v>0</v>
      </c>
      <c r="P182" s="253">
        <v>0</v>
      </c>
      <c r="Q182" s="250">
        <v>0</v>
      </c>
      <c r="R182" s="253">
        <v>0</v>
      </c>
      <c r="S182" s="253">
        <v>0</v>
      </c>
      <c r="T182" s="253">
        <v>0</v>
      </c>
      <c r="U182" s="253">
        <v>5.4753254859572801E-3</v>
      </c>
      <c r="V182" s="247"/>
    </row>
    <row r="183" spans="1:22">
      <c r="A183" s="242"/>
      <c r="B183" s="219" t="s">
        <v>839</v>
      </c>
      <c r="C183" s="239">
        <v>0</v>
      </c>
      <c r="D183" s="240">
        <v>0</v>
      </c>
      <c r="E183" s="240">
        <v>0</v>
      </c>
      <c r="F183" s="240">
        <v>0</v>
      </c>
      <c r="G183" s="240">
        <v>0</v>
      </c>
      <c r="H183" s="240">
        <v>0</v>
      </c>
      <c r="I183" s="240">
        <v>0</v>
      </c>
      <c r="J183" s="241">
        <v>0</v>
      </c>
      <c r="K183" s="241">
        <v>0</v>
      </c>
      <c r="L183" s="240">
        <v>0</v>
      </c>
      <c r="M183" s="240">
        <v>0</v>
      </c>
      <c r="N183" s="240">
        <v>0</v>
      </c>
      <c r="O183" s="241">
        <v>0</v>
      </c>
      <c r="P183" s="241">
        <v>0</v>
      </c>
      <c r="Q183" s="240">
        <v>0</v>
      </c>
      <c r="R183" s="241">
        <v>0</v>
      </c>
      <c r="S183" s="241">
        <v>0</v>
      </c>
      <c r="T183" s="241">
        <v>0</v>
      </c>
      <c r="U183" s="241">
        <v>0</v>
      </c>
      <c r="V183" s="247"/>
    </row>
    <row r="184" spans="1:22">
      <c r="A184" s="242"/>
      <c r="B184" s="243" t="s">
        <v>840</v>
      </c>
      <c r="C184" s="244">
        <v>0</v>
      </c>
      <c r="D184" s="245">
        <v>0</v>
      </c>
      <c r="E184" s="245">
        <v>0</v>
      </c>
      <c r="F184" s="245">
        <v>0</v>
      </c>
      <c r="G184" s="245">
        <v>0</v>
      </c>
      <c r="H184" s="245">
        <v>0</v>
      </c>
      <c r="I184" s="245">
        <v>0</v>
      </c>
      <c r="J184" s="246">
        <v>0</v>
      </c>
      <c r="K184" s="246">
        <v>0</v>
      </c>
      <c r="L184" s="245">
        <v>0</v>
      </c>
      <c r="M184" s="245">
        <v>0</v>
      </c>
      <c r="N184" s="245">
        <v>0</v>
      </c>
      <c r="O184" s="246">
        <v>0</v>
      </c>
      <c r="P184" s="246">
        <v>0</v>
      </c>
      <c r="Q184" s="245">
        <v>0</v>
      </c>
      <c r="R184" s="246">
        <v>0</v>
      </c>
      <c r="S184" s="246">
        <v>0</v>
      </c>
      <c r="T184" s="246">
        <v>0</v>
      </c>
      <c r="U184" s="246">
        <v>0</v>
      </c>
      <c r="V184" s="247"/>
    </row>
    <row r="185" spans="1:22" ht="15.75" thickBot="1">
      <c r="A185" s="261"/>
      <c r="B185" s="262" t="s">
        <v>841</v>
      </c>
      <c r="C185" s="263">
        <v>0</v>
      </c>
      <c r="D185" s="264">
        <v>0</v>
      </c>
      <c r="E185" s="264">
        <v>0</v>
      </c>
      <c r="F185" s="264">
        <v>0</v>
      </c>
      <c r="G185" s="264">
        <v>0</v>
      </c>
      <c r="H185" s="264">
        <v>0</v>
      </c>
      <c r="I185" s="264">
        <v>0</v>
      </c>
      <c r="J185" s="265">
        <v>0</v>
      </c>
      <c r="K185" s="265">
        <v>0</v>
      </c>
      <c r="L185" s="264">
        <v>0</v>
      </c>
      <c r="M185" s="264">
        <v>0</v>
      </c>
      <c r="N185" s="264">
        <v>0</v>
      </c>
      <c r="O185" s="265">
        <v>0</v>
      </c>
      <c r="P185" s="265">
        <v>0</v>
      </c>
      <c r="Q185" s="264">
        <v>0</v>
      </c>
      <c r="R185" s="265">
        <v>0</v>
      </c>
      <c r="S185" s="265">
        <v>0</v>
      </c>
      <c r="T185" s="265">
        <v>0</v>
      </c>
      <c r="U185" s="265">
        <v>0</v>
      </c>
      <c r="V185" s="247"/>
    </row>
    <row r="186" spans="1:22">
      <c r="A186" s="238" t="s">
        <v>264</v>
      </c>
      <c r="B186" s="219" t="s">
        <v>806</v>
      </c>
      <c r="C186" s="239">
        <v>0.89750692268205268</v>
      </c>
      <c r="D186" s="240">
        <v>0</v>
      </c>
      <c r="E186" s="240">
        <v>0.75609733692207348</v>
      </c>
      <c r="F186" s="240">
        <v>0.75690865361017035</v>
      </c>
      <c r="G186" s="240">
        <v>0</v>
      </c>
      <c r="H186" s="240">
        <v>0</v>
      </c>
      <c r="I186" s="240">
        <v>0</v>
      </c>
      <c r="J186" s="241">
        <v>0.81209130273449059</v>
      </c>
      <c r="K186" s="241">
        <v>0</v>
      </c>
      <c r="L186" s="240">
        <v>0.56834072896093568</v>
      </c>
      <c r="M186" s="240">
        <v>0.49209932659084304</v>
      </c>
      <c r="N186" s="240">
        <v>0.51989061787876811</v>
      </c>
      <c r="O186" s="241">
        <v>0.52179507905727562</v>
      </c>
      <c r="P186" s="241">
        <v>0.53582912578848707</v>
      </c>
      <c r="Q186" s="240">
        <v>0</v>
      </c>
      <c r="R186" s="241">
        <v>0.53582912578848707</v>
      </c>
      <c r="S186" s="241">
        <v>0</v>
      </c>
      <c r="T186" s="241">
        <v>0</v>
      </c>
      <c r="U186" s="241">
        <v>0.71619774529071389</v>
      </c>
      <c r="V186" s="247"/>
    </row>
    <row r="187" spans="1:22">
      <c r="A187" s="242"/>
      <c r="B187" s="243" t="s">
        <v>807</v>
      </c>
      <c r="C187" s="244">
        <v>0.88791282984885822</v>
      </c>
      <c r="D187" s="245">
        <v>0</v>
      </c>
      <c r="E187" s="245">
        <v>0.74169271534794567</v>
      </c>
      <c r="F187" s="245">
        <v>0.688895430460577</v>
      </c>
      <c r="G187" s="245">
        <v>0</v>
      </c>
      <c r="H187" s="245">
        <v>0</v>
      </c>
      <c r="I187" s="245">
        <v>0</v>
      </c>
      <c r="J187" s="246">
        <v>0.79882528668073416</v>
      </c>
      <c r="K187" s="246">
        <v>0</v>
      </c>
      <c r="L187" s="245">
        <v>0.62058071114604185</v>
      </c>
      <c r="M187" s="245">
        <v>0.50717684308874167</v>
      </c>
      <c r="N187" s="245">
        <v>0.46038569000214924</v>
      </c>
      <c r="O187" s="246">
        <v>0.53311967215268019</v>
      </c>
      <c r="P187" s="246">
        <v>0.63034016451519304</v>
      </c>
      <c r="Q187" s="245">
        <v>0</v>
      </c>
      <c r="R187" s="246">
        <v>0.63034016451519304</v>
      </c>
      <c r="S187" s="246">
        <v>0</v>
      </c>
      <c r="T187" s="246">
        <v>0</v>
      </c>
      <c r="U187" s="246">
        <v>0.71348325333552665</v>
      </c>
      <c r="V187" s="247"/>
    </row>
    <row r="188" spans="1:22">
      <c r="A188" s="242"/>
      <c r="B188" s="248" t="s">
        <v>808</v>
      </c>
      <c r="C188" s="249">
        <v>-0.95940928331944564</v>
      </c>
      <c r="D188" s="250">
        <v>0</v>
      </c>
      <c r="E188" s="250">
        <v>-1.4404621574127807</v>
      </c>
      <c r="F188" s="250">
        <v>-6.8013223149593349</v>
      </c>
      <c r="G188" s="250">
        <v>0</v>
      </c>
      <c r="H188" s="250">
        <v>0</v>
      </c>
      <c r="I188" s="250">
        <v>0</v>
      </c>
      <c r="J188" s="253">
        <v>-1.3266016053756435</v>
      </c>
      <c r="K188" s="253">
        <v>0</v>
      </c>
      <c r="L188" s="252">
        <v>5.2239982185106175</v>
      </c>
      <c r="M188" s="252">
        <v>1.5077516497898624</v>
      </c>
      <c r="N188" s="252">
        <v>-5.9504927876618874</v>
      </c>
      <c r="O188" s="253">
        <v>1.1324593095404567</v>
      </c>
      <c r="P188" s="268">
        <v>9.4511038726705969</v>
      </c>
      <c r="Q188" s="250">
        <v>0</v>
      </c>
      <c r="R188" s="253">
        <v>9.4511038726705969</v>
      </c>
      <c r="S188" s="253">
        <v>0</v>
      </c>
      <c r="T188" s="253">
        <v>0</v>
      </c>
      <c r="U188" s="253">
        <v>-0.27144919551872482</v>
      </c>
      <c r="V188" s="247"/>
    </row>
    <row r="189" spans="1:22">
      <c r="A189" s="242"/>
      <c r="B189" s="219" t="s">
        <v>809</v>
      </c>
      <c r="C189" s="239">
        <v>2.0696471506450379E-2</v>
      </c>
      <c r="D189" s="240">
        <v>0</v>
      </c>
      <c r="E189" s="240">
        <v>5.3662689044237655E-2</v>
      </c>
      <c r="F189" s="240">
        <v>0</v>
      </c>
      <c r="G189" s="240">
        <v>0</v>
      </c>
      <c r="H189" s="240">
        <v>0</v>
      </c>
      <c r="I189" s="240">
        <v>0</v>
      </c>
      <c r="J189" s="241">
        <v>3.9822580808175606E-2</v>
      </c>
      <c r="K189" s="241">
        <v>0</v>
      </c>
      <c r="L189" s="240">
        <v>0.11535640085156591</v>
      </c>
      <c r="M189" s="240">
        <v>6.6593429851393091E-2</v>
      </c>
      <c r="N189" s="240">
        <v>3.3457581873819912E-2</v>
      </c>
      <c r="O189" s="241">
        <v>7.5422663762660005E-2</v>
      </c>
      <c r="P189" s="241">
        <v>0.14296758480084287</v>
      </c>
      <c r="Q189" s="240">
        <v>0</v>
      </c>
      <c r="R189" s="241">
        <v>0.14296758480084287</v>
      </c>
      <c r="S189" s="241">
        <v>0</v>
      </c>
      <c r="T189" s="241">
        <v>0</v>
      </c>
      <c r="U189" s="241">
        <v>5.4023426659500898E-2</v>
      </c>
      <c r="V189" s="247"/>
    </row>
    <row r="190" spans="1:22">
      <c r="A190" s="242"/>
      <c r="B190" s="243" t="s">
        <v>810</v>
      </c>
      <c r="C190" s="244">
        <v>1.8373136695357981E-2</v>
      </c>
      <c r="D190" s="245">
        <v>0</v>
      </c>
      <c r="E190" s="245">
        <v>6.216102783189361E-2</v>
      </c>
      <c r="F190" s="245">
        <v>4.8231511254019296E-3</v>
      </c>
      <c r="G190" s="245">
        <v>0</v>
      </c>
      <c r="H190" s="245">
        <v>0</v>
      </c>
      <c r="I190" s="245">
        <v>0</v>
      </c>
      <c r="J190" s="246">
        <v>4.3863614378596955E-2</v>
      </c>
      <c r="K190" s="246">
        <v>0</v>
      </c>
      <c r="L190" s="245">
        <v>4.4507134622241075E-2</v>
      </c>
      <c r="M190" s="245">
        <v>4.5526584424797137E-2</v>
      </c>
      <c r="N190" s="245">
        <v>0.11636349426545006</v>
      </c>
      <c r="O190" s="246">
        <v>6.0086460536166973E-2</v>
      </c>
      <c r="P190" s="246">
        <v>5.3275120957130231E-2</v>
      </c>
      <c r="Q190" s="245">
        <v>0</v>
      </c>
      <c r="R190" s="246">
        <v>5.3275120957130231E-2</v>
      </c>
      <c r="S190" s="246">
        <v>0</v>
      </c>
      <c r="T190" s="246">
        <v>0</v>
      </c>
      <c r="U190" s="246">
        <v>4.9042474233264598E-2</v>
      </c>
      <c r="V190" s="247"/>
    </row>
    <row r="191" spans="1:22">
      <c r="A191" s="242"/>
      <c r="B191" s="248" t="s">
        <v>811</v>
      </c>
      <c r="C191" s="249">
        <v>-0.23233348110923979</v>
      </c>
      <c r="D191" s="250">
        <v>0</v>
      </c>
      <c r="E191" s="250">
        <v>0.84983387876559557</v>
      </c>
      <c r="F191" s="250">
        <v>0</v>
      </c>
      <c r="G191" s="250">
        <v>0</v>
      </c>
      <c r="H191" s="250">
        <v>0</v>
      </c>
      <c r="I191" s="250">
        <v>0</v>
      </c>
      <c r="J191" s="253">
        <v>0.40410335704213485</v>
      </c>
      <c r="K191" s="253">
        <v>0</v>
      </c>
      <c r="L191" s="252">
        <v>-7.0849266229324828</v>
      </c>
      <c r="M191" s="252">
        <v>-2.1066845426595955</v>
      </c>
      <c r="N191" s="252">
        <v>8.2905912391630139</v>
      </c>
      <c r="O191" s="253">
        <v>-1.5336203226493033</v>
      </c>
      <c r="P191" s="268">
        <v>-8.9692463843712638</v>
      </c>
      <c r="Q191" s="250">
        <v>0</v>
      </c>
      <c r="R191" s="253">
        <v>-8.9692463843712638</v>
      </c>
      <c r="S191" s="253">
        <v>0</v>
      </c>
      <c r="T191" s="253">
        <v>0</v>
      </c>
      <c r="U191" s="253">
        <v>-0.49809524262363003</v>
      </c>
      <c r="V191" s="247"/>
    </row>
    <row r="192" spans="1:22">
      <c r="A192" s="242"/>
      <c r="B192" s="219" t="s">
        <v>812</v>
      </c>
      <c r="C192" s="239">
        <v>8.0417995964466152E-2</v>
      </c>
      <c r="D192" s="240">
        <v>0</v>
      </c>
      <c r="E192" s="240">
        <v>0.17292828337574292</v>
      </c>
      <c r="F192" s="240">
        <v>0.24306680410347029</v>
      </c>
      <c r="G192" s="240">
        <v>0</v>
      </c>
      <c r="H192" s="240">
        <v>0</v>
      </c>
      <c r="I192" s="240">
        <v>0</v>
      </c>
      <c r="J192" s="241">
        <v>0.13733635866167482</v>
      </c>
      <c r="K192" s="241">
        <v>0</v>
      </c>
      <c r="L192" s="240">
        <v>0.31630287018749842</v>
      </c>
      <c r="M192" s="240">
        <v>0.44130724355776385</v>
      </c>
      <c r="N192" s="240">
        <v>0.44665180024741197</v>
      </c>
      <c r="O192" s="241">
        <v>0.40278225718006438</v>
      </c>
      <c r="P192" s="241">
        <v>0.32120328941067006</v>
      </c>
      <c r="Q192" s="240">
        <v>0</v>
      </c>
      <c r="R192" s="241">
        <v>0.32120328941067006</v>
      </c>
      <c r="S192" s="241">
        <v>0</v>
      </c>
      <c r="T192" s="241">
        <v>0</v>
      </c>
      <c r="U192" s="241">
        <v>0.22259835269320266</v>
      </c>
      <c r="V192" s="247"/>
    </row>
    <row r="193" spans="1:22">
      <c r="A193" s="242"/>
      <c r="B193" s="243" t="s">
        <v>813</v>
      </c>
      <c r="C193" s="244">
        <v>9.2383184374069685E-2</v>
      </c>
      <c r="D193" s="245">
        <v>0</v>
      </c>
      <c r="E193" s="245">
        <v>0.18135519960911317</v>
      </c>
      <c r="F193" s="245">
        <v>0.30625877451202393</v>
      </c>
      <c r="G193" s="245">
        <v>0</v>
      </c>
      <c r="H193" s="245">
        <v>0</v>
      </c>
      <c r="I193" s="245">
        <v>0</v>
      </c>
      <c r="J193" s="246">
        <v>0.14809818040445183</v>
      </c>
      <c r="K193" s="246">
        <v>0</v>
      </c>
      <c r="L193" s="245">
        <v>0.33491215423171711</v>
      </c>
      <c r="M193" s="245">
        <v>0.44729657248646121</v>
      </c>
      <c r="N193" s="245">
        <v>0.4232508157324007</v>
      </c>
      <c r="O193" s="246">
        <v>0.40679386731115286</v>
      </c>
      <c r="P193" s="246">
        <v>0.31638471452767675</v>
      </c>
      <c r="Q193" s="245">
        <v>0</v>
      </c>
      <c r="R193" s="246">
        <v>0.31638471452767675</v>
      </c>
      <c r="S193" s="246">
        <v>0</v>
      </c>
      <c r="T193" s="246">
        <v>0</v>
      </c>
      <c r="U193" s="246">
        <v>0.23134273919540027</v>
      </c>
      <c r="V193" s="247"/>
    </row>
    <row r="194" spans="1:22">
      <c r="A194" s="242"/>
      <c r="B194" s="248" t="s">
        <v>814</v>
      </c>
      <c r="C194" s="249">
        <v>1.1965188409603533</v>
      </c>
      <c r="D194" s="250">
        <v>0</v>
      </c>
      <c r="E194" s="250">
        <v>0.84269162333702463</v>
      </c>
      <c r="F194" s="250">
        <v>6.3191970408553653</v>
      </c>
      <c r="G194" s="250">
        <v>0</v>
      </c>
      <c r="H194" s="250">
        <v>0</v>
      </c>
      <c r="I194" s="250">
        <v>0</v>
      </c>
      <c r="J194" s="253">
        <v>1.0761821742777011</v>
      </c>
      <c r="K194" s="253">
        <v>0</v>
      </c>
      <c r="L194" s="252">
        <v>1.8609284044218688</v>
      </c>
      <c r="M194" s="252">
        <v>0.59893289286973572</v>
      </c>
      <c r="N194" s="252">
        <v>-2.3400984515011269</v>
      </c>
      <c r="O194" s="253">
        <v>0.40116101310884722</v>
      </c>
      <c r="P194" s="268">
        <v>-0.48185748829933095</v>
      </c>
      <c r="Q194" s="250">
        <v>0</v>
      </c>
      <c r="R194" s="253">
        <v>-0.48185748829933095</v>
      </c>
      <c r="S194" s="253">
        <v>0</v>
      </c>
      <c r="T194" s="253">
        <v>0</v>
      </c>
      <c r="U194" s="253">
        <v>0.87443865021976097</v>
      </c>
      <c r="V194" s="247"/>
    </row>
    <row r="195" spans="1:22">
      <c r="A195" s="242"/>
      <c r="B195" s="219" t="s">
        <v>815</v>
      </c>
      <c r="C195" s="239">
        <v>8.6254293339363235E-4</v>
      </c>
      <c r="D195" s="240">
        <v>0</v>
      </c>
      <c r="E195" s="240">
        <v>1.5914776607048261E-2</v>
      </c>
      <c r="F195" s="240">
        <v>2.454228635939724E-5</v>
      </c>
      <c r="G195" s="240">
        <v>0</v>
      </c>
      <c r="H195" s="240">
        <v>0</v>
      </c>
      <c r="I195" s="240">
        <v>0</v>
      </c>
      <c r="J195" s="241">
        <v>9.7221039074671129E-3</v>
      </c>
      <c r="K195" s="241">
        <v>0</v>
      </c>
      <c r="L195" s="240">
        <v>0</v>
      </c>
      <c r="M195" s="240">
        <v>0</v>
      </c>
      <c r="N195" s="240">
        <v>0</v>
      </c>
      <c r="O195" s="241">
        <v>0</v>
      </c>
      <c r="P195" s="241">
        <v>0</v>
      </c>
      <c r="Q195" s="240">
        <v>0</v>
      </c>
      <c r="R195" s="241">
        <v>0</v>
      </c>
      <c r="S195" s="241">
        <v>0</v>
      </c>
      <c r="T195" s="241">
        <v>0</v>
      </c>
      <c r="U195" s="241">
        <v>6.4940372470432169E-3</v>
      </c>
      <c r="V195" s="247"/>
    </row>
    <row r="196" spans="1:22">
      <c r="A196" s="242"/>
      <c r="B196" s="243" t="s">
        <v>816</v>
      </c>
      <c r="C196" s="244">
        <v>1.6693577331605857E-4</v>
      </c>
      <c r="D196" s="245">
        <v>0</v>
      </c>
      <c r="E196" s="245">
        <v>1.4442140606501E-2</v>
      </c>
      <c r="F196" s="245">
        <v>2.2643901997192158E-5</v>
      </c>
      <c r="G196" s="245">
        <v>0</v>
      </c>
      <c r="H196" s="245">
        <v>0</v>
      </c>
      <c r="I196" s="245">
        <v>0</v>
      </c>
      <c r="J196" s="246">
        <v>8.5464458283111867E-3</v>
      </c>
      <c r="K196" s="246">
        <v>0</v>
      </c>
      <c r="L196" s="245">
        <v>0</v>
      </c>
      <c r="M196" s="245">
        <v>0</v>
      </c>
      <c r="N196" s="245">
        <v>0</v>
      </c>
      <c r="O196" s="246">
        <v>0</v>
      </c>
      <c r="P196" s="246">
        <v>0</v>
      </c>
      <c r="Q196" s="245">
        <v>0</v>
      </c>
      <c r="R196" s="246">
        <v>0</v>
      </c>
      <c r="S196" s="246">
        <v>0</v>
      </c>
      <c r="T196" s="246">
        <v>0</v>
      </c>
      <c r="U196" s="246">
        <v>5.6879713457060662E-3</v>
      </c>
      <c r="V196" s="247"/>
    </row>
    <row r="197" spans="1:22">
      <c r="A197" s="242"/>
      <c r="B197" s="248" t="s">
        <v>817</v>
      </c>
      <c r="C197" s="249">
        <v>-6.9560716007757387E-2</v>
      </c>
      <c r="D197" s="250">
        <v>0</v>
      </c>
      <c r="E197" s="250">
        <v>-0.14726360005472613</v>
      </c>
      <c r="F197" s="250">
        <v>-1.8983843622050829E-4</v>
      </c>
      <c r="G197" s="250">
        <v>0</v>
      </c>
      <c r="H197" s="250">
        <v>0</v>
      </c>
      <c r="I197" s="250">
        <v>0</v>
      </c>
      <c r="J197" s="253">
        <v>-0.11756580791559262</v>
      </c>
      <c r="K197" s="253">
        <v>0</v>
      </c>
      <c r="L197" s="250">
        <v>0</v>
      </c>
      <c r="M197" s="250">
        <v>0</v>
      </c>
      <c r="N197" s="250">
        <v>0</v>
      </c>
      <c r="O197" s="253">
        <v>0</v>
      </c>
      <c r="P197" s="253">
        <v>0</v>
      </c>
      <c r="Q197" s="250">
        <v>0</v>
      </c>
      <c r="R197" s="253">
        <v>0</v>
      </c>
      <c r="S197" s="253">
        <v>0</v>
      </c>
      <c r="T197" s="253">
        <v>0</v>
      </c>
      <c r="U197" s="253">
        <v>-8.0606590133715073E-2</v>
      </c>
      <c r="V197" s="247"/>
    </row>
    <row r="198" spans="1:22">
      <c r="A198" s="242"/>
      <c r="B198" s="219" t="s">
        <v>818</v>
      </c>
      <c r="C198" s="239">
        <v>5.1606691363720498E-4</v>
      </c>
      <c r="D198" s="240">
        <v>0</v>
      </c>
      <c r="E198" s="240">
        <v>1.3969140508976444E-3</v>
      </c>
      <c r="F198" s="240">
        <v>0</v>
      </c>
      <c r="G198" s="240">
        <v>0</v>
      </c>
      <c r="H198" s="240">
        <v>0</v>
      </c>
      <c r="I198" s="240">
        <v>0</v>
      </c>
      <c r="J198" s="241">
        <v>1.0276538881918344E-3</v>
      </c>
      <c r="K198" s="241">
        <v>0</v>
      </c>
      <c r="L198" s="240">
        <v>0</v>
      </c>
      <c r="M198" s="240">
        <v>0</v>
      </c>
      <c r="N198" s="240">
        <v>0</v>
      </c>
      <c r="O198" s="241">
        <v>0</v>
      </c>
      <c r="P198" s="241">
        <v>0</v>
      </c>
      <c r="Q198" s="240">
        <v>0</v>
      </c>
      <c r="R198" s="241">
        <v>0</v>
      </c>
      <c r="S198" s="241">
        <v>0</v>
      </c>
      <c r="T198" s="241">
        <v>0</v>
      </c>
      <c r="U198" s="241">
        <v>6.8643810953931972E-4</v>
      </c>
      <c r="V198" s="247"/>
    </row>
    <row r="199" spans="1:22">
      <c r="A199" s="242"/>
      <c r="B199" s="243" t="s">
        <v>819</v>
      </c>
      <c r="C199" s="244">
        <v>1.163913308398075E-3</v>
      </c>
      <c r="D199" s="245">
        <v>0</v>
      </c>
      <c r="E199" s="245">
        <v>3.4891660454656499E-4</v>
      </c>
      <c r="F199" s="245">
        <v>0</v>
      </c>
      <c r="G199" s="245">
        <v>0</v>
      </c>
      <c r="H199" s="245">
        <v>0</v>
      </c>
      <c r="I199" s="245">
        <v>0</v>
      </c>
      <c r="J199" s="246">
        <v>6.6647270790583019E-4</v>
      </c>
      <c r="K199" s="246">
        <v>0</v>
      </c>
      <c r="L199" s="245">
        <v>0</v>
      </c>
      <c r="M199" s="245">
        <v>0</v>
      </c>
      <c r="N199" s="245">
        <v>0</v>
      </c>
      <c r="O199" s="246">
        <v>0</v>
      </c>
      <c r="P199" s="246">
        <v>0</v>
      </c>
      <c r="Q199" s="245">
        <v>0</v>
      </c>
      <c r="R199" s="246">
        <v>0</v>
      </c>
      <c r="S199" s="246">
        <v>0</v>
      </c>
      <c r="T199" s="246">
        <v>0</v>
      </c>
      <c r="U199" s="246">
        <v>4.435618901024011E-4</v>
      </c>
      <c r="V199" s="247"/>
    </row>
    <row r="200" spans="1:22">
      <c r="A200" s="242"/>
      <c r="B200" s="248" t="s">
        <v>820</v>
      </c>
      <c r="C200" s="249">
        <v>6.4784639476087008E-2</v>
      </c>
      <c r="D200" s="250">
        <v>0</v>
      </c>
      <c r="E200" s="250">
        <v>-0.10479974463510792</v>
      </c>
      <c r="F200" s="250">
        <v>0</v>
      </c>
      <c r="G200" s="250">
        <v>0</v>
      </c>
      <c r="H200" s="250">
        <v>0</v>
      </c>
      <c r="I200" s="250">
        <v>0</v>
      </c>
      <c r="J200" s="253">
        <v>-3.6118118028600425E-2</v>
      </c>
      <c r="K200" s="253">
        <v>0</v>
      </c>
      <c r="L200" s="250">
        <v>0</v>
      </c>
      <c r="M200" s="250">
        <v>0</v>
      </c>
      <c r="N200" s="250">
        <v>0</v>
      </c>
      <c r="O200" s="253">
        <v>0</v>
      </c>
      <c r="P200" s="253">
        <v>0</v>
      </c>
      <c r="Q200" s="250">
        <v>0</v>
      </c>
      <c r="R200" s="253">
        <v>0</v>
      </c>
      <c r="S200" s="253">
        <v>0</v>
      </c>
      <c r="T200" s="253">
        <v>0</v>
      </c>
      <c r="U200" s="253">
        <v>-2.428762194369186E-2</v>
      </c>
      <c r="V200" s="247"/>
    </row>
    <row r="201" spans="1:22">
      <c r="A201" s="242"/>
      <c r="B201" s="219" t="s">
        <v>821</v>
      </c>
      <c r="C201" s="239">
        <v>0</v>
      </c>
      <c r="D201" s="240">
        <v>0</v>
      </c>
      <c r="E201" s="240">
        <v>0</v>
      </c>
      <c r="F201" s="240">
        <v>0</v>
      </c>
      <c r="G201" s="240">
        <v>0</v>
      </c>
      <c r="H201" s="240">
        <v>0</v>
      </c>
      <c r="I201" s="240">
        <v>0</v>
      </c>
      <c r="J201" s="241">
        <v>0</v>
      </c>
      <c r="K201" s="241">
        <v>0</v>
      </c>
      <c r="L201" s="240">
        <v>0</v>
      </c>
      <c r="M201" s="240">
        <v>0</v>
      </c>
      <c r="N201" s="240">
        <v>0</v>
      </c>
      <c r="O201" s="241">
        <v>0</v>
      </c>
      <c r="P201" s="241">
        <v>0</v>
      </c>
      <c r="Q201" s="240">
        <v>0</v>
      </c>
      <c r="R201" s="241">
        <v>0</v>
      </c>
      <c r="S201" s="241">
        <v>0</v>
      </c>
      <c r="T201" s="241">
        <v>0</v>
      </c>
      <c r="U201" s="241">
        <v>0</v>
      </c>
      <c r="V201" s="247"/>
    </row>
    <row r="202" spans="1:22">
      <c r="A202" s="242"/>
      <c r="B202" s="243" t="s">
        <v>822</v>
      </c>
      <c r="C202" s="244">
        <v>0</v>
      </c>
      <c r="D202" s="245">
        <v>0</v>
      </c>
      <c r="E202" s="245">
        <v>0</v>
      </c>
      <c r="F202" s="245">
        <v>0</v>
      </c>
      <c r="G202" s="245">
        <v>0</v>
      </c>
      <c r="H202" s="245">
        <v>0</v>
      </c>
      <c r="I202" s="245">
        <v>0</v>
      </c>
      <c r="J202" s="246">
        <v>0</v>
      </c>
      <c r="K202" s="246">
        <v>0</v>
      </c>
      <c r="L202" s="245">
        <v>0</v>
      </c>
      <c r="M202" s="245">
        <v>0</v>
      </c>
      <c r="N202" s="245">
        <v>0</v>
      </c>
      <c r="O202" s="246">
        <v>0</v>
      </c>
      <c r="P202" s="246">
        <v>0</v>
      </c>
      <c r="Q202" s="245">
        <v>0</v>
      </c>
      <c r="R202" s="246">
        <v>0</v>
      </c>
      <c r="S202" s="246">
        <v>0</v>
      </c>
      <c r="T202" s="246">
        <v>0</v>
      </c>
      <c r="U202" s="246">
        <v>0</v>
      </c>
      <c r="V202" s="247"/>
    </row>
    <row r="203" spans="1:22" ht="15.75" thickBot="1">
      <c r="A203" s="242"/>
      <c r="B203" s="257" t="s">
        <v>823</v>
      </c>
      <c r="C203" s="258">
        <v>0</v>
      </c>
      <c r="D203" s="259">
        <v>0</v>
      </c>
      <c r="E203" s="259">
        <v>0</v>
      </c>
      <c r="F203" s="259">
        <v>0</v>
      </c>
      <c r="G203" s="259">
        <v>0</v>
      </c>
      <c r="H203" s="259">
        <v>0</v>
      </c>
      <c r="I203" s="259">
        <v>0</v>
      </c>
      <c r="J203" s="260">
        <v>0</v>
      </c>
      <c r="K203" s="260">
        <v>0</v>
      </c>
      <c r="L203" s="259">
        <v>0</v>
      </c>
      <c r="M203" s="259">
        <v>0</v>
      </c>
      <c r="N203" s="259">
        <v>0</v>
      </c>
      <c r="O203" s="260">
        <v>0</v>
      </c>
      <c r="P203" s="260">
        <v>0</v>
      </c>
      <c r="Q203" s="259">
        <v>0</v>
      </c>
      <c r="R203" s="260">
        <v>0</v>
      </c>
      <c r="S203" s="260">
        <v>0</v>
      </c>
      <c r="T203" s="260">
        <v>0</v>
      </c>
      <c r="U203" s="260">
        <v>0</v>
      </c>
      <c r="V203" s="247"/>
    </row>
    <row r="204" spans="1:22" ht="15.75" thickTop="1">
      <c r="A204" s="242"/>
      <c r="B204" s="243" t="s">
        <v>824</v>
      </c>
      <c r="C204" s="244">
        <v>0.74291933499479479</v>
      </c>
      <c r="D204" s="245">
        <v>0</v>
      </c>
      <c r="E204" s="245">
        <v>0.46925168502582798</v>
      </c>
      <c r="F204" s="245">
        <v>0.81293402777777779</v>
      </c>
      <c r="G204" s="245">
        <v>0</v>
      </c>
      <c r="H204" s="245">
        <v>0</v>
      </c>
      <c r="I204" s="245">
        <v>0</v>
      </c>
      <c r="J204" s="246">
        <v>0.60476175865983495</v>
      </c>
      <c r="K204" s="246">
        <v>0</v>
      </c>
      <c r="L204" s="245">
        <v>0</v>
      </c>
      <c r="M204" s="245">
        <v>0</v>
      </c>
      <c r="N204" s="245">
        <v>0</v>
      </c>
      <c r="O204" s="246">
        <v>0</v>
      </c>
      <c r="P204" s="246">
        <v>0</v>
      </c>
      <c r="Q204" s="245">
        <v>0</v>
      </c>
      <c r="R204" s="246">
        <v>0</v>
      </c>
      <c r="S204" s="246">
        <v>0</v>
      </c>
      <c r="T204" s="246">
        <v>0</v>
      </c>
      <c r="U204" s="246">
        <v>0.60476175865983495</v>
      </c>
      <c r="V204" s="247"/>
    </row>
    <row r="205" spans="1:22">
      <c r="A205" s="242"/>
      <c r="B205" s="243" t="s">
        <v>825</v>
      </c>
      <c r="C205" s="244">
        <v>0.74473390398213624</v>
      </c>
      <c r="D205" s="245">
        <v>0</v>
      </c>
      <c r="E205" s="245">
        <v>0.45975314664219102</v>
      </c>
      <c r="F205" s="245">
        <v>0.80883567299752268</v>
      </c>
      <c r="G205" s="245">
        <v>0</v>
      </c>
      <c r="H205" s="245">
        <v>0</v>
      </c>
      <c r="I205" s="245">
        <v>0</v>
      </c>
      <c r="J205" s="246">
        <v>0.60622708902683731</v>
      </c>
      <c r="K205" s="246">
        <v>0</v>
      </c>
      <c r="L205" s="245">
        <v>0</v>
      </c>
      <c r="M205" s="245">
        <v>0</v>
      </c>
      <c r="N205" s="245">
        <v>0</v>
      </c>
      <c r="O205" s="246">
        <v>0</v>
      </c>
      <c r="P205" s="246">
        <v>0</v>
      </c>
      <c r="Q205" s="245">
        <v>0</v>
      </c>
      <c r="R205" s="246">
        <v>0</v>
      </c>
      <c r="S205" s="246">
        <v>0</v>
      </c>
      <c r="T205" s="246">
        <v>0</v>
      </c>
      <c r="U205" s="246">
        <v>0.60622708902683731</v>
      </c>
      <c r="V205" s="247"/>
    </row>
    <row r="206" spans="1:22">
      <c r="A206" s="242"/>
      <c r="B206" s="248" t="s">
        <v>826</v>
      </c>
      <c r="C206" s="269">
        <v>0.18145689873414472</v>
      </c>
      <c r="D206" s="250">
        <v>0</v>
      </c>
      <c r="E206" s="250">
        <v>-0.94985383836369564</v>
      </c>
      <c r="F206" s="252">
        <v>-0.4098354780255109</v>
      </c>
      <c r="G206" s="250">
        <v>0</v>
      </c>
      <c r="H206" s="250">
        <v>0</v>
      </c>
      <c r="I206" s="250">
        <v>0</v>
      </c>
      <c r="J206" s="253">
        <v>0.14653303670023599</v>
      </c>
      <c r="K206" s="253">
        <v>0</v>
      </c>
      <c r="L206" s="250">
        <v>0</v>
      </c>
      <c r="M206" s="250">
        <v>0</v>
      </c>
      <c r="N206" s="250">
        <v>0</v>
      </c>
      <c r="O206" s="253">
        <v>0</v>
      </c>
      <c r="P206" s="253">
        <v>0</v>
      </c>
      <c r="Q206" s="250">
        <v>0</v>
      </c>
      <c r="R206" s="253">
        <v>0</v>
      </c>
      <c r="S206" s="253">
        <v>0</v>
      </c>
      <c r="T206" s="253">
        <v>0</v>
      </c>
      <c r="U206" s="253">
        <v>0.14653303670023599</v>
      </c>
      <c r="V206" s="247"/>
    </row>
    <row r="207" spans="1:22">
      <c r="A207" s="242"/>
      <c r="B207" s="219" t="s">
        <v>827</v>
      </c>
      <c r="C207" s="239">
        <v>7.6879396826398314E-2</v>
      </c>
      <c r="D207" s="240">
        <v>0</v>
      </c>
      <c r="E207" s="240">
        <v>2.9128388976025096E-2</v>
      </c>
      <c r="F207" s="240">
        <v>0</v>
      </c>
      <c r="G207" s="240">
        <v>0</v>
      </c>
      <c r="H207" s="240">
        <v>0</v>
      </c>
      <c r="I207" s="240">
        <v>0</v>
      </c>
      <c r="J207" s="241">
        <v>5.214309821127236E-2</v>
      </c>
      <c r="K207" s="241">
        <v>0</v>
      </c>
      <c r="L207" s="240">
        <v>0</v>
      </c>
      <c r="M207" s="240">
        <v>0</v>
      </c>
      <c r="N207" s="240">
        <v>0</v>
      </c>
      <c r="O207" s="241">
        <v>0</v>
      </c>
      <c r="P207" s="241">
        <v>0</v>
      </c>
      <c r="Q207" s="240">
        <v>0</v>
      </c>
      <c r="R207" s="241">
        <v>0</v>
      </c>
      <c r="S207" s="241">
        <v>0</v>
      </c>
      <c r="T207" s="241">
        <v>0</v>
      </c>
      <c r="U207" s="241">
        <v>5.214309821127236E-2</v>
      </c>
      <c r="V207" s="247"/>
    </row>
    <row r="208" spans="1:22">
      <c r="A208" s="242"/>
      <c r="B208" s="243" t="s">
        <v>828</v>
      </c>
      <c r="C208" s="244">
        <v>4.201091675970723E-2</v>
      </c>
      <c r="D208" s="245">
        <v>0</v>
      </c>
      <c r="E208" s="245">
        <v>2.8401614880520665E-2</v>
      </c>
      <c r="F208" s="245">
        <v>0</v>
      </c>
      <c r="G208" s="245">
        <v>0</v>
      </c>
      <c r="H208" s="245">
        <v>0</v>
      </c>
      <c r="I208" s="245">
        <v>0</v>
      </c>
      <c r="J208" s="246">
        <v>3.5054767204164748E-2</v>
      </c>
      <c r="K208" s="246">
        <v>0</v>
      </c>
      <c r="L208" s="245">
        <v>0</v>
      </c>
      <c r="M208" s="245">
        <v>0</v>
      </c>
      <c r="N208" s="245">
        <v>0</v>
      </c>
      <c r="O208" s="246">
        <v>0</v>
      </c>
      <c r="P208" s="246">
        <v>0</v>
      </c>
      <c r="Q208" s="245">
        <v>0</v>
      </c>
      <c r="R208" s="246">
        <v>0</v>
      </c>
      <c r="S208" s="246">
        <v>0</v>
      </c>
      <c r="T208" s="246">
        <v>0</v>
      </c>
      <c r="U208" s="246">
        <v>3.5054767204164748E-2</v>
      </c>
      <c r="V208" s="247"/>
    </row>
    <row r="209" spans="1:22">
      <c r="A209" s="242"/>
      <c r="B209" s="248" t="s">
        <v>829</v>
      </c>
      <c r="C209" s="249">
        <v>-3.4868480066691085</v>
      </c>
      <c r="D209" s="250">
        <v>0</v>
      </c>
      <c r="E209" s="250">
        <v>-7.2677409550443023E-2</v>
      </c>
      <c r="F209" s="250">
        <v>0</v>
      </c>
      <c r="G209" s="250">
        <v>0</v>
      </c>
      <c r="H209" s="250">
        <v>0</v>
      </c>
      <c r="I209" s="250">
        <v>0</v>
      </c>
      <c r="J209" s="253">
        <v>-1.7088331007107611</v>
      </c>
      <c r="K209" s="253">
        <v>0</v>
      </c>
      <c r="L209" s="250">
        <v>0</v>
      </c>
      <c r="M209" s="250">
        <v>0</v>
      </c>
      <c r="N209" s="250">
        <v>0</v>
      </c>
      <c r="O209" s="253">
        <v>0</v>
      </c>
      <c r="P209" s="253">
        <v>0</v>
      </c>
      <c r="Q209" s="250">
        <v>0</v>
      </c>
      <c r="R209" s="253">
        <v>0</v>
      </c>
      <c r="S209" s="253">
        <v>0</v>
      </c>
      <c r="T209" s="253">
        <v>0</v>
      </c>
      <c r="U209" s="253">
        <v>-1.7088331007107611</v>
      </c>
      <c r="V209" s="247"/>
    </row>
    <row r="210" spans="1:22">
      <c r="A210" s="242"/>
      <c r="B210" s="219" t="s">
        <v>830</v>
      </c>
      <c r="C210" s="239">
        <v>0.17645351588378183</v>
      </c>
      <c r="D210" s="240">
        <v>0</v>
      </c>
      <c r="E210" s="240">
        <v>0.49315997601903944</v>
      </c>
      <c r="F210" s="240">
        <v>0.18706597222222221</v>
      </c>
      <c r="G210" s="240">
        <v>0</v>
      </c>
      <c r="H210" s="240">
        <v>0</v>
      </c>
      <c r="I210" s="240">
        <v>0</v>
      </c>
      <c r="J210" s="241">
        <v>0.3369864694873132</v>
      </c>
      <c r="K210" s="241">
        <v>0</v>
      </c>
      <c r="L210" s="240">
        <v>0</v>
      </c>
      <c r="M210" s="240">
        <v>0</v>
      </c>
      <c r="N210" s="240">
        <v>0</v>
      </c>
      <c r="O210" s="241">
        <v>0</v>
      </c>
      <c r="P210" s="241">
        <v>0</v>
      </c>
      <c r="Q210" s="240">
        <v>0</v>
      </c>
      <c r="R210" s="241">
        <v>0</v>
      </c>
      <c r="S210" s="241">
        <v>0</v>
      </c>
      <c r="T210" s="241">
        <v>0</v>
      </c>
      <c r="U210" s="241">
        <v>0.3369864694873132</v>
      </c>
      <c r="V210" s="247"/>
    </row>
    <row r="211" spans="1:22">
      <c r="A211" s="242"/>
      <c r="B211" s="243" t="s">
        <v>831</v>
      </c>
      <c r="C211" s="244">
        <v>0.21143158417069843</v>
      </c>
      <c r="D211" s="245">
        <v>0</v>
      </c>
      <c r="E211" s="245">
        <v>0.5049133189132291</v>
      </c>
      <c r="F211" s="245">
        <v>0.19116432700247729</v>
      </c>
      <c r="G211" s="245">
        <v>0</v>
      </c>
      <c r="H211" s="245">
        <v>0</v>
      </c>
      <c r="I211" s="245">
        <v>0</v>
      </c>
      <c r="J211" s="246">
        <v>0.35441690692862265</v>
      </c>
      <c r="K211" s="246">
        <v>0</v>
      </c>
      <c r="L211" s="245">
        <v>0</v>
      </c>
      <c r="M211" s="245">
        <v>0</v>
      </c>
      <c r="N211" s="245">
        <v>0</v>
      </c>
      <c r="O211" s="246">
        <v>0</v>
      </c>
      <c r="P211" s="246">
        <v>0</v>
      </c>
      <c r="Q211" s="245">
        <v>0</v>
      </c>
      <c r="R211" s="246">
        <v>0</v>
      </c>
      <c r="S211" s="246">
        <v>0</v>
      </c>
      <c r="T211" s="246">
        <v>0</v>
      </c>
      <c r="U211" s="246">
        <v>0.35441690692862265</v>
      </c>
      <c r="V211" s="247"/>
    </row>
    <row r="212" spans="1:22">
      <c r="A212" s="242"/>
      <c r="B212" s="248" t="s">
        <v>832</v>
      </c>
      <c r="C212" s="249">
        <v>3.4978068286916604</v>
      </c>
      <c r="D212" s="250">
        <v>0</v>
      </c>
      <c r="E212" s="250">
        <v>1.1753342894189667</v>
      </c>
      <c r="F212" s="252">
        <v>0.40983547802550813</v>
      </c>
      <c r="G212" s="250">
        <v>0</v>
      </c>
      <c r="H212" s="250">
        <v>0</v>
      </c>
      <c r="I212" s="250">
        <v>0</v>
      </c>
      <c r="J212" s="253">
        <v>1.7430437441309454</v>
      </c>
      <c r="K212" s="253">
        <v>0</v>
      </c>
      <c r="L212" s="250">
        <v>0</v>
      </c>
      <c r="M212" s="250">
        <v>0</v>
      </c>
      <c r="N212" s="250">
        <v>0</v>
      </c>
      <c r="O212" s="253">
        <v>0</v>
      </c>
      <c r="P212" s="253">
        <v>0</v>
      </c>
      <c r="Q212" s="250">
        <v>0</v>
      </c>
      <c r="R212" s="253">
        <v>0</v>
      </c>
      <c r="S212" s="253">
        <v>0</v>
      </c>
      <c r="T212" s="253">
        <v>0</v>
      </c>
      <c r="U212" s="253">
        <v>1.7430437441309454</v>
      </c>
      <c r="V212" s="247"/>
    </row>
    <row r="213" spans="1:22">
      <c r="A213" s="242"/>
      <c r="B213" s="219" t="s">
        <v>833</v>
      </c>
      <c r="C213" s="239">
        <v>2.8770623678980411E-3</v>
      </c>
      <c r="D213" s="240">
        <v>0</v>
      </c>
      <c r="E213" s="240">
        <v>5.4320509171506262E-3</v>
      </c>
      <c r="F213" s="240">
        <v>0</v>
      </c>
      <c r="G213" s="240">
        <v>0</v>
      </c>
      <c r="H213" s="240">
        <v>0</v>
      </c>
      <c r="I213" s="240">
        <v>0</v>
      </c>
      <c r="J213" s="241">
        <v>4.1511981100236248E-3</v>
      </c>
      <c r="K213" s="241">
        <v>0</v>
      </c>
      <c r="L213" s="240">
        <v>0</v>
      </c>
      <c r="M213" s="240">
        <v>0</v>
      </c>
      <c r="N213" s="240">
        <v>0</v>
      </c>
      <c r="O213" s="241">
        <v>0</v>
      </c>
      <c r="P213" s="241">
        <v>0</v>
      </c>
      <c r="Q213" s="240">
        <v>0</v>
      </c>
      <c r="R213" s="241">
        <v>0</v>
      </c>
      <c r="S213" s="241">
        <v>0</v>
      </c>
      <c r="T213" s="241">
        <v>0</v>
      </c>
      <c r="U213" s="241">
        <v>4.1511981100236248E-3</v>
      </c>
      <c r="V213" s="247"/>
    </row>
    <row r="214" spans="1:22">
      <c r="A214" s="242"/>
      <c r="B214" s="243" t="s">
        <v>834</v>
      </c>
      <c r="C214" s="244">
        <v>0</v>
      </c>
      <c r="D214" s="245">
        <v>0</v>
      </c>
      <c r="E214" s="245">
        <v>4.6469534855360364E-3</v>
      </c>
      <c r="F214" s="245">
        <v>0</v>
      </c>
      <c r="G214" s="245">
        <v>0</v>
      </c>
      <c r="H214" s="245">
        <v>0</v>
      </c>
      <c r="I214" s="245">
        <v>0</v>
      </c>
      <c r="J214" s="246">
        <v>2.2664450308818788E-3</v>
      </c>
      <c r="K214" s="246">
        <v>0</v>
      </c>
      <c r="L214" s="245">
        <v>0</v>
      </c>
      <c r="M214" s="245">
        <v>0</v>
      </c>
      <c r="N214" s="245">
        <v>0</v>
      </c>
      <c r="O214" s="246">
        <v>0</v>
      </c>
      <c r="P214" s="246">
        <v>0</v>
      </c>
      <c r="Q214" s="245">
        <v>0</v>
      </c>
      <c r="R214" s="246">
        <v>0</v>
      </c>
      <c r="S214" s="246">
        <v>0</v>
      </c>
      <c r="T214" s="246">
        <v>0</v>
      </c>
      <c r="U214" s="246">
        <v>2.2664450308818788E-3</v>
      </c>
      <c r="V214" s="247"/>
    </row>
    <row r="215" spans="1:22">
      <c r="A215" s="242"/>
      <c r="B215" s="248" t="s">
        <v>835</v>
      </c>
      <c r="C215" s="249">
        <v>-0.28770623678980412</v>
      </c>
      <c r="D215" s="250">
        <v>0</v>
      </c>
      <c r="E215" s="250">
        <v>-7.8509743161458978E-2</v>
      </c>
      <c r="F215" s="250">
        <v>0</v>
      </c>
      <c r="G215" s="250">
        <v>0</v>
      </c>
      <c r="H215" s="250">
        <v>0</v>
      </c>
      <c r="I215" s="250">
        <v>0</v>
      </c>
      <c r="J215" s="253">
        <v>-0.18847530791417461</v>
      </c>
      <c r="K215" s="253">
        <v>0</v>
      </c>
      <c r="L215" s="250">
        <v>0</v>
      </c>
      <c r="M215" s="250">
        <v>0</v>
      </c>
      <c r="N215" s="250">
        <v>0</v>
      </c>
      <c r="O215" s="253">
        <v>0</v>
      </c>
      <c r="P215" s="253">
        <v>0</v>
      </c>
      <c r="Q215" s="250">
        <v>0</v>
      </c>
      <c r="R215" s="253">
        <v>0</v>
      </c>
      <c r="S215" s="253">
        <v>0</v>
      </c>
      <c r="T215" s="253">
        <v>0</v>
      </c>
      <c r="U215" s="253">
        <v>-0.18847530791417461</v>
      </c>
      <c r="V215" s="247"/>
    </row>
    <row r="216" spans="1:22">
      <c r="A216" s="242"/>
      <c r="B216" s="219" t="s">
        <v>836</v>
      </c>
      <c r="C216" s="239">
        <v>8.7068992712703867E-4</v>
      </c>
      <c r="D216" s="240">
        <v>0</v>
      </c>
      <c r="E216" s="240">
        <v>3.0278990619568708E-3</v>
      </c>
      <c r="F216" s="240">
        <v>0</v>
      </c>
      <c r="G216" s="240">
        <v>0</v>
      </c>
      <c r="H216" s="240">
        <v>0</v>
      </c>
      <c r="I216" s="240">
        <v>0</v>
      </c>
      <c r="J216" s="241">
        <v>1.9574755315558555E-3</v>
      </c>
      <c r="K216" s="241">
        <v>0</v>
      </c>
      <c r="L216" s="240">
        <v>0</v>
      </c>
      <c r="M216" s="240">
        <v>0</v>
      </c>
      <c r="N216" s="240">
        <v>0</v>
      </c>
      <c r="O216" s="241">
        <v>0</v>
      </c>
      <c r="P216" s="241">
        <v>0</v>
      </c>
      <c r="Q216" s="240">
        <v>0</v>
      </c>
      <c r="R216" s="241">
        <v>0</v>
      </c>
      <c r="S216" s="241">
        <v>0</v>
      </c>
      <c r="T216" s="241">
        <v>0</v>
      </c>
      <c r="U216" s="241">
        <v>1.9574755315558555E-3</v>
      </c>
      <c r="V216" s="247"/>
    </row>
    <row r="217" spans="1:22">
      <c r="A217" s="242"/>
      <c r="B217" s="243" t="s">
        <v>837</v>
      </c>
      <c r="C217" s="244">
        <v>1.8235950874581318E-3</v>
      </c>
      <c r="D217" s="245">
        <v>0</v>
      </c>
      <c r="E217" s="245">
        <v>2.2849660785232446E-3</v>
      </c>
      <c r="F217" s="245">
        <v>0</v>
      </c>
      <c r="G217" s="245">
        <v>0</v>
      </c>
      <c r="H217" s="245">
        <v>0</v>
      </c>
      <c r="I217" s="245">
        <v>0</v>
      </c>
      <c r="J217" s="246">
        <v>2.0347918094933996E-3</v>
      </c>
      <c r="K217" s="246">
        <v>0</v>
      </c>
      <c r="L217" s="245">
        <v>0</v>
      </c>
      <c r="M217" s="245">
        <v>0</v>
      </c>
      <c r="N217" s="245">
        <v>0</v>
      </c>
      <c r="O217" s="246">
        <v>0</v>
      </c>
      <c r="P217" s="246">
        <v>0</v>
      </c>
      <c r="Q217" s="245">
        <v>0</v>
      </c>
      <c r="R217" s="246">
        <v>0</v>
      </c>
      <c r="S217" s="246">
        <v>0</v>
      </c>
      <c r="T217" s="246">
        <v>0</v>
      </c>
      <c r="U217" s="246">
        <v>2.0347918094933996E-3</v>
      </c>
      <c r="V217" s="247"/>
    </row>
    <row r="218" spans="1:22">
      <c r="A218" s="242"/>
      <c r="B218" s="248" t="s">
        <v>838</v>
      </c>
      <c r="C218" s="249">
        <v>9.5290516033109313E-2</v>
      </c>
      <c r="D218" s="250">
        <v>0</v>
      </c>
      <c r="E218" s="250">
        <v>-7.4293298343362624E-2</v>
      </c>
      <c r="F218" s="250">
        <v>0</v>
      </c>
      <c r="G218" s="250">
        <v>0</v>
      </c>
      <c r="H218" s="250">
        <v>0</v>
      </c>
      <c r="I218" s="250">
        <v>0</v>
      </c>
      <c r="J218" s="253">
        <v>7.731627793754409E-3</v>
      </c>
      <c r="K218" s="253">
        <v>0</v>
      </c>
      <c r="L218" s="250">
        <v>0</v>
      </c>
      <c r="M218" s="250">
        <v>0</v>
      </c>
      <c r="N218" s="250">
        <v>0</v>
      </c>
      <c r="O218" s="253">
        <v>0</v>
      </c>
      <c r="P218" s="253">
        <v>0</v>
      </c>
      <c r="Q218" s="250">
        <v>0</v>
      </c>
      <c r="R218" s="253">
        <v>0</v>
      </c>
      <c r="S218" s="253">
        <v>0</v>
      </c>
      <c r="T218" s="253">
        <v>0</v>
      </c>
      <c r="U218" s="253">
        <v>7.731627793754409E-3</v>
      </c>
      <c r="V218" s="247"/>
    </row>
    <row r="219" spans="1:22">
      <c r="A219" s="242"/>
      <c r="B219" s="219" t="s">
        <v>839</v>
      </c>
      <c r="C219" s="239">
        <v>0</v>
      </c>
      <c r="D219" s="240">
        <v>0</v>
      </c>
      <c r="E219" s="240">
        <v>0</v>
      </c>
      <c r="F219" s="240">
        <v>0</v>
      </c>
      <c r="G219" s="240">
        <v>0</v>
      </c>
      <c r="H219" s="240">
        <v>0</v>
      </c>
      <c r="I219" s="240">
        <v>0</v>
      </c>
      <c r="J219" s="241">
        <v>0</v>
      </c>
      <c r="K219" s="241">
        <v>0</v>
      </c>
      <c r="L219" s="240">
        <v>0</v>
      </c>
      <c r="M219" s="240">
        <v>0</v>
      </c>
      <c r="N219" s="240">
        <v>0</v>
      </c>
      <c r="O219" s="241">
        <v>0</v>
      </c>
      <c r="P219" s="241">
        <v>0</v>
      </c>
      <c r="Q219" s="240">
        <v>0</v>
      </c>
      <c r="R219" s="241">
        <v>0</v>
      </c>
      <c r="S219" s="241">
        <v>0</v>
      </c>
      <c r="T219" s="241">
        <v>0</v>
      </c>
      <c r="U219" s="241">
        <v>0</v>
      </c>
      <c r="V219" s="247"/>
    </row>
    <row r="220" spans="1:22">
      <c r="A220" s="242"/>
      <c r="B220" s="243" t="s">
        <v>840</v>
      </c>
      <c r="C220" s="244">
        <v>0</v>
      </c>
      <c r="D220" s="245">
        <v>0</v>
      </c>
      <c r="E220" s="245">
        <v>0</v>
      </c>
      <c r="F220" s="245">
        <v>0</v>
      </c>
      <c r="G220" s="245">
        <v>0</v>
      </c>
      <c r="H220" s="245">
        <v>0</v>
      </c>
      <c r="I220" s="245">
        <v>0</v>
      </c>
      <c r="J220" s="246">
        <v>0</v>
      </c>
      <c r="K220" s="246">
        <v>0</v>
      </c>
      <c r="L220" s="245">
        <v>0</v>
      </c>
      <c r="M220" s="245">
        <v>0</v>
      </c>
      <c r="N220" s="245">
        <v>0</v>
      </c>
      <c r="O220" s="246">
        <v>0</v>
      </c>
      <c r="P220" s="246">
        <v>0</v>
      </c>
      <c r="Q220" s="245">
        <v>0</v>
      </c>
      <c r="R220" s="246">
        <v>0</v>
      </c>
      <c r="S220" s="246">
        <v>0</v>
      </c>
      <c r="T220" s="246">
        <v>0</v>
      </c>
      <c r="U220" s="246">
        <v>0</v>
      </c>
      <c r="V220" s="247"/>
    </row>
    <row r="221" spans="1:22" ht="15.75" thickBot="1">
      <c r="A221" s="261"/>
      <c r="B221" s="262" t="s">
        <v>841</v>
      </c>
      <c r="C221" s="263">
        <v>0</v>
      </c>
      <c r="D221" s="264">
        <v>0</v>
      </c>
      <c r="E221" s="264">
        <v>0</v>
      </c>
      <c r="F221" s="264">
        <v>0</v>
      </c>
      <c r="G221" s="264">
        <v>0</v>
      </c>
      <c r="H221" s="264">
        <v>0</v>
      </c>
      <c r="I221" s="264">
        <v>0</v>
      </c>
      <c r="J221" s="265">
        <v>0</v>
      </c>
      <c r="K221" s="265">
        <v>0</v>
      </c>
      <c r="L221" s="264">
        <v>0</v>
      </c>
      <c r="M221" s="264">
        <v>0</v>
      </c>
      <c r="N221" s="264">
        <v>0</v>
      </c>
      <c r="O221" s="265">
        <v>0</v>
      </c>
      <c r="P221" s="265">
        <v>0</v>
      </c>
      <c r="Q221" s="264">
        <v>0</v>
      </c>
      <c r="R221" s="265">
        <v>0</v>
      </c>
      <c r="S221" s="265">
        <v>0</v>
      </c>
      <c r="T221" s="265">
        <v>0</v>
      </c>
      <c r="U221" s="265">
        <v>0</v>
      </c>
      <c r="V221" s="247"/>
    </row>
    <row r="222" spans="1:22">
      <c r="A222" s="238" t="s">
        <v>291</v>
      </c>
      <c r="B222" s="219" t="s">
        <v>806</v>
      </c>
      <c r="C222" s="239">
        <v>0.97687609075043624</v>
      </c>
      <c r="D222" s="240">
        <v>0.89944207906532503</v>
      </c>
      <c r="E222" s="240">
        <v>0.86090509109561553</v>
      </c>
      <c r="F222" s="240">
        <v>0.7641815685371115</v>
      </c>
      <c r="G222" s="240">
        <v>0.87671232876712324</v>
      </c>
      <c r="H222" s="240">
        <v>0.74513438368860108</v>
      </c>
      <c r="I222" s="240">
        <v>0</v>
      </c>
      <c r="J222" s="241">
        <v>0.87983309624839157</v>
      </c>
      <c r="K222" s="241">
        <v>0</v>
      </c>
      <c r="L222" s="240">
        <v>0.84421679692947993</v>
      </c>
      <c r="M222" s="240">
        <v>0.88537090831292409</v>
      </c>
      <c r="N222" s="240">
        <v>0.75817453761510145</v>
      </c>
      <c r="O222" s="241">
        <v>0.84365469666345139</v>
      </c>
      <c r="P222" s="241">
        <v>0.89965644174715675</v>
      </c>
      <c r="Q222" s="240">
        <v>0</v>
      </c>
      <c r="R222" s="241">
        <v>0.89965644174715675</v>
      </c>
      <c r="S222" s="241">
        <v>0</v>
      </c>
      <c r="T222" s="241">
        <v>0</v>
      </c>
      <c r="U222" s="241">
        <v>0.87294585023416849</v>
      </c>
      <c r="V222" s="247"/>
    </row>
    <row r="223" spans="1:22">
      <c r="A223" s="242"/>
      <c r="B223" s="243" t="s">
        <v>807</v>
      </c>
      <c r="C223" s="244">
        <v>0.96910112359550571</v>
      </c>
      <c r="D223" s="245">
        <v>0.87776820581430626</v>
      </c>
      <c r="E223" s="245">
        <v>0.80361422086224965</v>
      </c>
      <c r="F223" s="245">
        <v>0.71315143115464752</v>
      </c>
      <c r="G223" s="245">
        <v>0.87707317073170721</v>
      </c>
      <c r="H223" s="245">
        <v>0.64480000000000004</v>
      </c>
      <c r="I223" s="245">
        <v>0</v>
      </c>
      <c r="J223" s="246">
        <v>0.84326126611231766</v>
      </c>
      <c r="K223" s="246">
        <v>0</v>
      </c>
      <c r="L223" s="245">
        <v>0.80120721247605386</v>
      </c>
      <c r="M223" s="245">
        <v>0.84076742200207</v>
      </c>
      <c r="N223" s="245">
        <v>0.71194757100958539</v>
      </c>
      <c r="O223" s="246">
        <v>0.79896506082261809</v>
      </c>
      <c r="P223" s="246">
        <v>0.8504968122215627</v>
      </c>
      <c r="Q223" s="245">
        <v>0</v>
      </c>
      <c r="R223" s="246">
        <v>0.8504968122215627</v>
      </c>
      <c r="S223" s="246">
        <v>0</v>
      </c>
      <c r="T223" s="246">
        <v>0</v>
      </c>
      <c r="U223" s="246">
        <v>0.8335474958213247</v>
      </c>
      <c r="V223" s="247"/>
    </row>
    <row r="224" spans="1:22">
      <c r="A224" s="242"/>
      <c r="B224" s="248" t="s">
        <v>808</v>
      </c>
      <c r="C224" s="249">
        <v>-0.77749671549305344</v>
      </c>
      <c r="D224" s="250">
        <v>-2.1673873251018771</v>
      </c>
      <c r="E224" s="250">
        <v>-5.7290870233365876</v>
      </c>
      <c r="F224" s="250">
        <v>-5.103013738246398</v>
      </c>
      <c r="G224" s="250">
        <v>3.6084196458396889E-2</v>
      </c>
      <c r="H224" s="250">
        <v>-10.033438368860104</v>
      </c>
      <c r="I224" s="250">
        <v>0</v>
      </c>
      <c r="J224" s="253">
        <v>-3.6571830136073902</v>
      </c>
      <c r="K224" s="253">
        <v>0</v>
      </c>
      <c r="L224" s="250">
        <v>-4.3009584453426069</v>
      </c>
      <c r="M224" s="250">
        <v>-4.4603486310854095</v>
      </c>
      <c r="N224" s="250">
        <v>-4.6226966605516058</v>
      </c>
      <c r="O224" s="253">
        <v>-4.4689635840833297</v>
      </c>
      <c r="P224" s="253">
        <v>-4.9159629525594051</v>
      </c>
      <c r="Q224" s="250">
        <v>0</v>
      </c>
      <c r="R224" s="253">
        <v>-4.9159629525594051</v>
      </c>
      <c r="S224" s="253">
        <v>0</v>
      </c>
      <c r="T224" s="253">
        <v>0</v>
      </c>
      <c r="U224" s="253">
        <v>-3.9398354412843783</v>
      </c>
      <c r="V224" s="247"/>
    </row>
    <row r="225" spans="1:22">
      <c r="A225" s="242"/>
      <c r="B225" s="219" t="s">
        <v>809</v>
      </c>
      <c r="C225" s="239">
        <v>0</v>
      </c>
      <c r="D225" s="240">
        <v>0</v>
      </c>
      <c r="E225" s="240">
        <v>0</v>
      </c>
      <c r="F225" s="240">
        <v>0</v>
      </c>
      <c r="G225" s="240">
        <v>0</v>
      </c>
      <c r="H225" s="240">
        <v>0</v>
      </c>
      <c r="I225" s="240">
        <v>0</v>
      </c>
      <c r="J225" s="241">
        <v>0</v>
      </c>
      <c r="K225" s="241">
        <v>0</v>
      </c>
      <c r="L225" s="240">
        <v>0</v>
      </c>
      <c r="M225" s="240">
        <v>0</v>
      </c>
      <c r="N225" s="240">
        <v>0</v>
      </c>
      <c r="O225" s="241">
        <v>0</v>
      </c>
      <c r="P225" s="241">
        <v>0</v>
      </c>
      <c r="Q225" s="240">
        <v>0</v>
      </c>
      <c r="R225" s="241">
        <v>0</v>
      </c>
      <c r="S225" s="241">
        <v>0</v>
      </c>
      <c r="T225" s="241">
        <v>0</v>
      </c>
      <c r="U225" s="241">
        <v>0</v>
      </c>
      <c r="V225" s="247"/>
    </row>
    <row r="226" spans="1:22">
      <c r="A226" s="242"/>
      <c r="B226" s="243" t="s">
        <v>810</v>
      </c>
      <c r="C226" s="244">
        <v>0</v>
      </c>
      <c r="D226" s="245">
        <v>0</v>
      </c>
      <c r="E226" s="245">
        <v>0</v>
      </c>
      <c r="F226" s="245">
        <v>0</v>
      </c>
      <c r="G226" s="245">
        <v>0</v>
      </c>
      <c r="H226" s="245">
        <v>0</v>
      </c>
      <c r="I226" s="245">
        <v>0</v>
      </c>
      <c r="J226" s="246">
        <v>0</v>
      </c>
      <c r="K226" s="246">
        <v>0</v>
      </c>
      <c r="L226" s="245">
        <v>0</v>
      </c>
      <c r="M226" s="245">
        <v>0</v>
      </c>
      <c r="N226" s="245">
        <v>0</v>
      </c>
      <c r="O226" s="246">
        <v>0</v>
      </c>
      <c r="P226" s="246">
        <v>0</v>
      </c>
      <c r="Q226" s="245">
        <v>0</v>
      </c>
      <c r="R226" s="246">
        <v>0</v>
      </c>
      <c r="S226" s="246">
        <v>0</v>
      </c>
      <c r="T226" s="246">
        <v>0</v>
      </c>
      <c r="U226" s="246">
        <v>0</v>
      </c>
      <c r="V226" s="247"/>
    </row>
    <row r="227" spans="1:22">
      <c r="A227" s="242"/>
      <c r="B227" s="248" t="s">
        <v>811</v>
      </c>
      <c r="C227" s="249">
        <v>0</v>
      </c>
      <c r="D227" s="250">
        <v>0</v>
      </c>
      <c r="E227" s="250">
        <v>0</v>
      </c>
      <c r="F227" s="250">
        <v>0</v>
      </c>
      <c r="G227" s="250">
        <v>0</v>
      </c>
      <c r="H227" s="250">
        <v>0</v>
      </c>
      <c r="I227" s="250">
        <v>0</v>
      </c>
      <c r="J227" s="253">
        <v>0</v>
      </c>
      <c r="K227" s="253">
        <v>0</v>
      </c>
      <c r="L227" s="250">
        <v>0</v>
      </c>
      <c r="M227" s="250">
        <v>0</v>
      </c>
      <c r="N227" s="250">
        <v>0</v>
      </c>
      <c r="O227" s="253">
        <v>0</v>
      </c>
      <c r="P227" s="253">
        <v>0</v>
      </c>
      <c r="Q227" s="250">
        <v>0</v>
      </c>
      <c r="R227" s="253">
        <v>0</v>
      </c>
      <c r="S227" s="253">
        <v>0</v>
      </c>
      <c r="T227" s="253">
        <v>0</v>
      </c>
      <c r="U227" s="253">
        <v>0</v>
      </c>
      <c r="V227" s="247"/>
    </row>
    <row r="228" spans="1:22">
      <c r="A228" s="242"/>
      <c r="B228" s="219" t="s">
        <v>812</v>
      </c>
      <c r="C228" s="239">
        <v>2.3123909249563784E-2</v>
      </c>
      <c r="D228" s="240">
        <v>0.10055792093467476</v>
      </c>
      <c r="E228" s="240">
        <v>0.13909490890438461</v>
      </c>
      <c r="F228" s="240">
        <v>0.23581843146288853</v>
      </c>
      <c r="G228" s="240">
        <v>0.12328767123287671</v>
      </c>
      <c r="H228" s="240">
        <v>0.25486561631139892</v>
      </c>
      <c r="I228" s="240">
        <v>0</v>
      </c>
      <c r="J228" s="241">
        <v>0.12016690375160842</v>
      </c>
      <c r="K228" s="241">
        <v>0</v>
      </c>
      <c r="L228" s="240">
        <v>0.15578320307052007</v>
      </c>
      <c r="M228" s="240">
        <v>0.11462909168707587</v>
      </c>
      <c r="N228" s="240">
        <v>0.24182546238489855</v>
      </c>
      <c r="O228" s="241">
        <v>0.1563453033365485</v>
      </c>
      <c r="P228" s="241">
        <v>0.10034355825284333</v>
      </c>
      <c r="Q228" s="240">
        <v>0</v>
      </c>
      <c r="R228" s="241">
        <v>0.10034355825284333</v>
      </c>
      <c r="S228" s="241">
        <v>0</v>
      </c>
      <c r="T228" s="241">
        <v>0</v>
      </c>
      <c r="U228" s="241">
        <v>0.12705414976583143</v>
      </c>
      <c r="V228" s="247"/>
    </row>
    <row r="229" spans="1:22">
      <c r="A229" s="242"/>
      <c r="B229" s="243" t="s">
        <v>813</v>
      </c>
      <c r="C229" s="244">
        <v>3.0898876404494381E-2</v>
      </c>
      <c r="D229" s="245">
        <v>0.12223179418569372</v>
      </c>
      <c r="E229" s="245">
        <v>0.19638577913775027</v>
      </c>
      <c r="F229" s="245">
        <v>0.28684856884535248</v>
      </c>
      <c r="G229" s="245">
        <v>0.12292682926829281</v>
      </c>
      <c r="H229" s="245">
        <v>0.35520000000000002</v>
      </c>
      <c r="I229" s="245">
        <v>0</v>
      </c>
      <c r="J229" s="246">
        <v>0.1567387338876825</v>
      </c>
      <c r="K229" s="246">
        <v>0</v>
      </c>
      <c r="L229" s="245">
        <v>0.19879278752394611</v>
      </c>
      <c r="M229" s="245">
        <v>0.15923257799793006</v>
      </c>
      <c r="N229" s="245">
        <v>0.28805242899041456</v>
      </c>
      <c r="O229" s="246">
        <v>0.20103493917738183</v>
      </c>
      <c r="P229" s="246">
        <v>0.14950318777843735</v>
      </c>
      <c r="Q229" s="245">
        <v>0</v>
      </c>
      <c r="R229" s="246">
        <v>0.14950318777843735</v>
      </c>
      <c r="S229" s="246">
        <v>0</v>
      </c>
      <c r="T229" s="246">
        <v>0</v>
      </c>
      <c r="U229" s="246">
        <v>0.16645250417867549</v>
      </c>
      <c r="V229" s="247"/>
    </row>
    <row r="230" spans="1:22">
      <c r="A230" s="242"/>
      <c r="B230" s="248" t="s">
        <v>814</v>
      </c>
      <c r="C230" s="249">
        <v>0.77749671549305965</v>
      </c>
      <c r="D230" s="250">
        <v>2.1673873251018954</v>
      </c>
      <c r="E230" s="250">
        <v>5.7290870233365654</v>
      </c>
      <c r="F230" s="250">
        <v>5.1030137382463954</v>
      </c>
      <c r="G230" s="250">
        <v>-3.608419645838995E-2</v>
      </c>
      <c r="H230" s="250">
        <v>10.033438368860109</v>
      </c>
      <c r="I230" s="250">
        <v>0</v>
      </c>
      <c r="J230" s="253">
        <v>3.6571830136074084</v>
      </c>
      <c r="K230" s="253">
        <v>0</v>
      </c>
      <c r="L230" s="250">
        <v>4.3009584453426033</v>
      </c>
      <c r="M230" s="250">
        <v>4.4603486310854183</v>
      </c>
      <c r="N230" s="250">
        <v>4.6226966605516004</v>
      </c>
      <c r="O230" s="253">
        <v>4.4689635840833324</v>
      </c>
      <c r="P230" s="253">
        <v>4.9159629525594024</v>
      </c>
      <c r="Q230" s="250">
        <v>0</v>
      </c>
      <c r="R230" s="253">
        <v>4.9159629525594024</v>
      </c>
      <c r="S230" s="253">
        <v>0</v>
      </c>
      <c r="T230" s="253">
        <v>0</v>
      </c>
      <c r="U230" s="253">
        <v>3.9398354412844059</v>
      </c>
      <c r="V230" s="247"/>
    </row>
    <row r="231" spans="1:22">
      <c r="A231" s="242"/>
      <c r="B231" s="219" t="s">
        <v>815</v>
      </c>
      <c r="C231" s="239">
        <v>0</v>
      </c>
      <c r="D231" s="240">
        <v>0</v>
      </c>
      <c r="E231" s="240">
        <v>0</v>
      </c>
      <c r="F231" s="240">
        <v>0</v>
      </c>
      <c r="G231" s="240">
        <v>0</v>
      </c>
      <c r="H231" s="240">
        <v>0</v>
      </c>
      <c r="I231" s="240">
        <v>0</v>
      </c>
      <c r="J231" s="241">
        <v>0</v>
      </c>
      <c r="K231" s="241">
        <v>0</v>
      </c>
      <c r="L231" s="240">
        <v>0</v>
      </c>
      <c r="M231" s="240">
        <v>0</v>
      </c>
      <c r="N231" s="240">
        <v>0</v>
      </c>
      <c r="O231" s="241">
        <v>0</v>
      </c>
      <c r="P231" s="241">
        <v>0</v>
      </c>
      <c r="Q231" s="240">
        <v>0</v>
      </c>
      <c r="R231" s="241">
        <v>0</v>
      </c>
      <c r="S231" s="241">
        <v>0</v>
      </c>
      <c r="T231" s="241">
        <v>0</v>
      </c>
      <c r="U231" s="241">
        <v>0</v>
      </c>
      <c r="V231" s="247"/>
    </row>
    <row r="232" spans="1:22">
      <c r="A232" s="242"/>
      <c r="B232" s="243" t="s">
        <v>816</v>
      </c>
      <c r="C232" s="244">
        <v>0</v>
      </c>
      <c r="D232" s="245">
        <v>0</v>
      </c>
      <c r="E232" s="245">
        <v>0</v>
      </c>
      <c r="F232" s="245">
        <v>0</v>
      </c>
      <c r="G232" s="245">
        <v>0</v>
      </c>
      <c r="H232" s="245">
        <v>0</v>
      </c>
      <c r="I232" s="245">
        <v>0</v>
      </c>
      <c r="J232" s="246">
        <v>0</v>
      </c>
      <c r="K232" s="246">
        <v>0</v>
      </c>
      <c r="L232" s="245">
        <v>0</v>
      </c>
      <c r="M232" s="245">
        <v>0</v>
      </c>
      <c r="N232" s="245">
        <v>0</v>
      </c>
      <c r="O232" s="246">
        <v>0</v>
      </c>
      <c r="P232" s="246">
        <v>0</v>
      </c>
      <c r="Q232" s="245">
        <v>0</v>
      </c>
      <c r="R232" s="246">
        <v>0</v>
      </c>
      <c r="S232" s="246">
        <v>0</v>
      </c>
      <c r="T232" s="246">
        <v>0</v>
      </c>
      <c r="U232" s="246">
        <v>0</v>
      </c>
      <c r="V232" s="247"/>
    </row>
    <row r="233" spans="1:22">
      <c r="A233" s="242"/>
      <c r="B233" s="248" t="s">
        <v>817</v>
      </c>
      <c r="C233" s="249">
        <v>0</v>
      </c>
      <c r="D233" s="250">
        <v>0</v>
      </c>
      <c r="E233" s="250">
        <v>0</v>
      </c>
      <c r="F233" s="250">
        <v>0</v>
      </c>
      <c r="G233" s="250">
        <v>0</v>
      </c>
      <c r="H233" s="250">
        <v>0</v>
      </c>
      <c r="I233" s="250">
        <v>0</v>
      </c>
      <c r="J233" s="253">
        <v>0</v>
      </c>
      <c r="K233" s="253">
        <v>0</v>
      </c>
      <c r="L233" s="250">
        <v>0</v>
      </c>
      <c r="M233" s="250">
        <v>0</v>
      </c>
      <c r="N233" s="250">
        <v>0</v>
      </c>
      <c r="O233" s="253">
        <v>0</v>
      </c>
      <c r="P233" s="253">
        <v>0</v>
      </c>
      <c r="Q233" s="250">
        <v>0</v>
      </c>
      <c r="R233" s="253">
        <v>0</v>
      </c>
      <c r="S233" s="253">
        <v>0</v>
      </c>
      <c r="T233" s="253">
        <v>0</v>
      </c>
      <c r="U233" s="253">
        <v>0</v>
      </c>
      <c r="V233" s="247"/>
    </row>
    <row r="234" spans="1:22">
      <c r="A234" s="242"/>
      <c r="B234" s="219" t="s">
        <v>818</v>
      </c>
      <c r="C234" s="239">
        <v>0</v>
      </c>
      <c r="D234" s="240">
        <v>0</v>
      </c>
      <c r="E234" s="240">
        <v>0</v>
      </c>
      <c r="F234" s="240">
        <v>0</v>
      </c>
      <c r="G234" s="240">
        <v>0</v>
      </c>
      <c r="H234" s="240">
        <v>0</v>
      </c>
      <c r="I234" s="240">
        <v>0</v>
      </c>
      <c r="J234" s="241">
        <v>0</v>
      </c>
      <c r="K234" s="241">
        <v>0</v>
      </c>
      <c r="L234" s="240">
        <v>0</v>
      </c>
      <c r="M234" s="240">
        <v>0</v>
      </c>
      <c r="N234" s="240">
        <v>0</v>
      </c>
      <c r="O234" s="241">
        <v>0</v>
      </c>
      <c r="P234" s="241">
        <v>0</v>
      </c>
      <c r="Q234" s="240">
        <v>0</v>
      </c>
      <c r="R234" s="241">
        <v>0</v>
      </c>
      <c r="S234" s="241">
        <v>0</v>
      </c>
      <c r="T234" s="241">
        <v>0</v>
      </c>
      <c r="U234" s="241">
        <v>0</v>
      </c>
      <c r="V234" s="247"/>
    </row>
    <row r="235" spans="1:22">
      <c r="A235" s="242"/>
      <c r="B235" s="243" t="s">
        <v>819</v>
      </c>
      <c r="C235" s="244">
        <v>0</v>
      </c>
      <c r="D235" s="245">
        <v>0</v>
      </c>
      <c r="E235" s="245">
        <v>0</v>
      </c>
      <c r="F235" s="245">
        <v>0</v>
      </c>
      <c r="G235" s="245">
        <v>0</v>
      </c>
      <c r="H235" s="245">
        <v>0</v>
      </c>
      <c r="I235" s="245">
        <v>0</v>
      </c>
      <c r="J235" s="246">
        <v>0</v>
      </c>
      <c r="K235" s="246">
        <v>0</v>
      </c>
      <c r="L235" s="245">
        <v>0</v>
      </c>
      <c r="M235" s="245">
        <v>0</v>
      </c>
      <c r="N235" s="245">
        <v>0</v>
      </c>
      <c r="O235" s="246">
        <v>0</v>
      </c>
      <c r="P235" s="246">
        <v>0</v>
      </c>
      <c r="Q235" s="245">
        <v>0</v>
      </c>
      <c r="R235" s="246">
        <v>0</v>
      </c>
      <c r="S235" s="246">
        <v>0</v>
      </c>
      <c r="T235" s="246">
        <v>0</v>
      </c>
      <c r="U235" s="246">
        <v>0</v>
      </c>
      <c r="V235" s="247"/>
    </row>
    <row r="236" spans="1:22">
      <c r="A236" s="242"/>
      <c r="B236" s="248" t="s">
        <v>820</v>
      </c>
      <c r="C236" s="249">
        <v>0</v>
      </c>
      <c r="D236" s="250">
        <v>0</v>
      </c>
      <c r="E236" s="250">
        <v>0</v>
      </c>
      <c r="F236" s="250">
        <v>0</v>
      </c>
      <c r="G236" s="250">
        <v>0</v>
      </c>
      <c r="H236" s="250">
        <v>0</v>
      </c>
      <c r="I236" s="250">
        <v>0</v>
      </c>
      <c r="J236" s="253">
        <v>0</v>
      </c>
      <c r="K236" s="253">
        <v>0</v>
      </c>
      <c r="L236" s="250">
        <v>0</v>
      </c>
      <c r="M236" s="250">
        <v>0</v>
      </c>
      <c r="N236" s="250">
        <v>0</v>
      </c>
      <c r="O236" s="253">
        <v>0</v>
      </c>
      <c r="P236" s="253">
        <v>0</v>
      </c>
      <c r="Q236" s="250">
        <v>0</v>
      </c>
      <c r="R236" s="253">
        <v>0</v>
      </c>
      <c r="S236" s="253">
        <v>0</v>
      </c>
      <c r="T236" s="253">
        <v>0</v>
      </c>
      <c r="U236" s="253">
        <v>0</v>
      </c>
      <c r="V236" s="247"/>
    </row>
    <row r="237" spans="1:22">
      <c r="A237" s="242"/>
      <c r="B237" s="219" t="s">
        <v>821</v>
      </c>
      <c r="C237" s="239">
        <v>0</v>
      </c>
      <c r="D237" s="240">
        <v>0</v>
      </c>
      <c r="E237" s="240">
        <v>0</v>
      </c>
      <c r="F237" s="240">
        <v>0</v>
      </c>
      <c r="G237" s="240">
        <v>0</v>
      </c>
      <c r="H237" s="240">
        <v>0</v>
      </c>
      <c r="I237" s="240">
        <v>0</v>
      </c>
      <c r="J237" s="241">
        <v>0</v>
      </c>
      <c r="K237" s="241">
        <v>0</v>
      </c>
      <c r="L237" s="240">
        <v>0</v>
      </c>
      <c r="M237" s="240">
        <v>0</v>
      </c>
      <c r="N237" s="240">
        <v>0</v>
      </c>
      <c r="O237" s="241">
        <v>0</v>
      </c>
      <c r="P237" s="241">
        <v>0</v>
      </c>
      <c r="Q237" s="240">
        <v>0</v>
      </c>
      <c r="R237" s="241">
        <v>0</v>
      </c>
      <c r="S237" s="241">
        <v>0</v>
      </c>
      <c r="T237" s="241">
        <v>0</v>
      </c>
      <c r="U237" s="241">
        <v>0</v>
      </c>
      <c r="V237" s="247"/>
    </row>
    <row r="238" spans="1:22">
      <c r="A238" s="242"/>
      <c r="B238" s="243" t="s">
        <v>822</v>
      </c>
      <c r="C238" s="244">
        <v>0</v>
      </c>
      <c r="D238" s="245">
        <v>0</v>
      </c>
      <c r="E238" s="245">
        <v>0</v>
      </c>
      <c r="F238" s="245">
        <v>0</v>
      </c>
      <c r="G238" s="245">
        <v>0</v>
      </c>
      <c r="H238" s="245">
        <v>0</v>
      </c>
      <c r="I238" s="245">
        <v>0</v>
      </c>
      <c r="J238" s="246">
        <v>0</v>
      </c>
      <c r="K238" s="246">
        <v>0</v>
      </c>
      <c r="L238" s="245">
        <v>0</v>
      </c>
      <c r="M238" s="245">
        <v>0</v>
      </c>
      <c r="N238" s="245">
        <v>0</v>
      </c>
      <c r="O238" s="246">
        <v>0</v>
      </c>
      <c r="P238" s="246">
        <v>0</v>
      </c>
      <c r="Q238" s="245">
        <v>0</v>
      </c>
      <c r="R238" s="246">
        <v>0</v>
      </c>
      <c r="S238" s="246">
        <v>0</v>
      </c>
      <c r="T238" s="246">
        <v>0</v>
      </c>
      <c r="U238" s="246">
        <v>0</v>
      </c>
      <c r="V238" s="247"/>
    </row>
    <row r="239" spans="1:22" ht="15.75" thickBot="1">
      <c r="A239" s="242"/>
      <c r="B239" s="257" t="s">
        <v>823</v>
      </c>
      <c r="C239" s="258">
        <v>0</v>
      </c>
      <c r="D239" s="259">
        <v>0</v>
      </c>
      <c r="E239" s="259">
        <v>0</v>
      </c>
      <c r="F239" s="259">
        <v>0</v>
      </c>
      <c r="G239" s="259">
        <v>0</v>
      </c>
      <c r="H239" s="259">
        <v>0</v>
      </c>
      <c r="I239" s="259">
        <v>0</v>
      </c>
      <c r="J239" s="260">
        <v>0</v>
      </c>
      <c r="K239" s="260">
        <v>0</v>
      </c>
      <c r="L239" s="259">
        <v>0</v>
      </c>
      <c r="M239" s="259">
        <v>0</v>
      </c>
      <c r="N239" s="259">
        <v>0</v>
      </c>
      <c r="O239" s="260">
        <v>0</v>
      </c>
      <c r="P239" s="260">
        <v>0</v>
      </c>
      <c r="Q239" s="259">
        <v>0</v>
      </c>
      <c r="R239" s="260">
        <v>0</v>
      </c>
      <c r="S239" s="260">
        <v>0</v>
      </c>
      <c r="T239" s="260">
        <v>0</v>
      </c>
      <c r="U239" s="260">
        <v>0</v>
      </c>
      <c r="V239" s="247"/>
    </row>
    <row r="240" spans="1:22" ht="15.75" thickTop="1">
      <c r="A240" s="242"/>
      <c r="B240" s="243" t="s">
        <v>824</v>
      </c>
      <c r="C240" s="244">
        <v>0.9569128787878789</v>
      </c>
      <c r="D240" s="245">
        <v>0.85071515494325145</v>
      </c>
      <c r="E240" s="245">
        <v>0.7114154862208657</v>
      </c>
      <c r="F240" s="245">
        <v>0.46041173186569956</v>
      </c>
      <c r="G240" s="245">
        <v>0.82383419689119219</v>
      </c>
      <c r="H240" s="245">
        <v>0</v>
      </c>
      <c r="I240" s="245">
        <v>0</v>
      </c>
      <c r="J240" s="246">
        <v>0.77097492773615783</v>
      </c>
      <c r="K240" s="246">
        <v>0</v>
      </c>
      <c r="L240" s="245">
        <v>0</v>
      </c>
      <c r="M240" s="245">
        <v>0</v>
      </c>
      <c r="N240" s="245">
        <v>0</v>
      </c>
      <c r="O240" s="246">
        <v>0</v>
      </c>
      <c r="P240" s="246">
        <v>0</v>
      </c>
      <c r="Q240" s="245">
        <v>0</v>
      </c>
      <c r="R240" s="246">
        <v>0</v>
      </c>
      <c r="S240" s="246">
        <v>0</v>
      </c>
      <c r="T240" s="246">
        <v>0</v>
      </c>
      <c r="U240" s="246">
        <v>0.77097492773615783</v>
      </c>
      <c r="V240" s="247"/>
    </row>
    <row r="241" spans="1:22">
      <c r="A241" s="242"/>
      <c r="B241" s="243" t="s">
        <v>825</v>
      </c>
      <c r="C241" s="244">
        <v>0.95658944909480226</v>
      </c>
      <c r="D241" s="245">
        <v>0.83188461673593506</v>
      </c>
      <c r="E241" s="245">
        <v>0.61226579653268376</v>
      </c>
      <c r="F241" s="245">
        <v>0.44195095810434037</v>
      </c>
      <c r="G241" s="245">
        <v>0.86111111111111116</v>
      </c>
      <c r="H241" s="245">
        <v>0</v>
      </c>
      <c r="I241" s="245">
        <v>0</v>
      </c>
      <c r="J241" s="246">
        <v>0.73789683272098372</v>
      </c>
      <c r="K241" s="246">
        <v>0</v>
      </c>
      <c r="L241" s="245">
        <v>0</v>
      </c>
      <c r="M241" s="245">
        <v>0</v>
      </c>
      <c r="N241" s="245">
        <v>0</v>
      </c>
      <c r="O241" s="246">
        <v>0</v>
      </c>
      <c r="P241" s="246">
        <v>0</v>
      </c>
      <c r="Q241" s="245">
        <v>0</v>
      </c>
      <c r="R241" s="246">
        <v>0</v>
      </c>
      <c r="S241" s="246">
        <v>0</v>
      </c>
      <c r="T241" s="246">
        <v>0</v>
      </c>
      <c r="U241" s="246">
        <v>0.73789683272098372</v>
      </c>
      <c r="V241" s="247"/>
    </row>
    <row r="242" spans="1:22">
      <c r="A242" s="242"/>
      <c r="B242" s="248" t="s">
        <v>826</v>
      </c>
      <c r="C242" s="249">
        <v>-3.2342969307663783E-2</v>
      </c>
      <c r="D242" s="250">
        <v>-1.8830538207316394</v>
      </c>
      <c r="E242" s="250">
        <v>-9.9149689688181937</v>
      </c>
      <c r="F242" s="250">
        <v>-1.8460773761359184</v>
      </c>
      <c r="G242" s="250">
        <v>3.7276914219918966</v>
      </c>
      <c r="H242" s="250">
        <v>0</v>
      </c>
      <c r="I242" s="250">
        <v>0</v>
      </c>
      <c r="J242" s="253">
        <v>-3.3078095015174114</v>
      </c>
      <c r="K242" s="253">
        <v>0</v>
      </c>
      <c r="L242" s="250">
        <v>0</v>
      </c>
      <c r="M242" s="250">
        <v>0</v>
      </c>
      <c r="N242" s="250">
        <v>0</v>
      </c>
      <c r="O242" s="253">
        <v>0</v>
      </c>
      <c r="P242" s="253">
        <v>0</v>
      </c>
      <c r="Q242" s="250">
        <v>0</v>
      </c>
      <c r="R242" s="253">
        <v>0</v>
      </c>
      <c r="S242" s="253">
        <v>0</v>
      </c>
      <c r="T242" s="253">
        <v>0</v>
      </c>
      <c r="U242" s="253">
        <v>-3.3078095015174114</v>
      </c>
      <c r="V242" s="247"/>
    </row>
    <row r="243" spans="1:22">
      <c r="A243" s="242"/>
      <c r="B243" s="219" t="s">
        <v>827</v>
      </c>
      <c r="C243" s="239">
        <v>0</v>
      </c>
      <c r="D243" s="240">
        <v>0</v>
      </c>
      <c r="E243" s="240">
        <v>0</v>
      </c>
      <c r="F243" s="240">
        <v>0</v>
      </c>
      <c r="G243" s="240">
        <v>0</v>
      </c>
      <c r="H243" s="240">
        <v>0</v>
      </c>
      <c r="I243" s="240">
        <v>0</v>
      </c>
      <c r="J243" s="241">
        <v>0</v>
      </c>
      <c r="K243" s="241">
        <v>0</v>
      </c>
      <c r="L243" s="240">
        <v>0</v>
      </c>
      <c r="M243" s="240">
        <v>0</v>
      </c>
      <c r="N243" s="240">
        <v>0</v>
      </c>
      <c r="O243" s="241">
        <v>0</v>
      </c>
      <c r="P243" s="241">
        <v>0</v>
      </c>
      <c r="Q243" s="240">
        <v>0</v>
      </c>
      <c r="R243" s="241">
        <v>0</v>
      </c>
      <c r="S243" s="241">
        <v>0</v>
      </c>
      <c r="T243" s="241">
        <v>0</v>
      </c>
      <c r="U243" s="241">
        <v>0</v>
      </c>
      <c r="V243" s="247"/>
    </row>
    <row r="244" spans="1:22">
      <c r="A244" s="242"/>
      <c r="B244" s="243" t="s">
        <v>828</v>
      </c>
      <c r="C244" s="244">
        <v>0</v>
      </c>
      <c r="D244" s="245">
        <v>0</v>
      </c>
      <c r="E244" s="245">
        <v>0</v>
      </c>
      <c r="F244" s="245">
        <v>0</v>
      </c>
      <c r="G244" s="245">
        <v>0</v>
      </c>
      <c r="H244" s="245">
        <v>0</v>
      </c>
      <c r="I244" s="245">
        <v>0</v>
      </c>
      <c r="J244" s="246">
        <v>0</v>
      </c>
      <c r="K244" s="246">
        <v>0</v>
      </c>
      <c r="L244" s="245">
        <v>0</v>
      </c>
      <c r="M244" s="245">
        <v>0</v>
      </c>
      <c r="N244" s="245">
        <v>0</v>
      </c>
      <c r="O244" s="246">
        <v>0</v>
      </c>
      <c r="P244" s="246">
        <v>0</v>
      </c>
      <c r="Q244" s="245">
        <v>0</v>
      </c>
      <c r="R244" s="246">
        <v>0</v>
      </c>
      <c r="S244" s="246">
        <v>0</v>
      </c>
      <c r="T244" s="246">
        <v>0</v>
      </c>
      <c r="U244" s="246">
        <v>0</v>
      </c>
      <c r="V244" s="247"/>
    </row>
    <row r="245" spans="1:22">
      <c r="A245" s="242"/>
      <c r="B245" s="248" t="s">
        <v>829</v>
      </c>
      <c r="C245" s="249">
        <v>0</v>
      </c>
      <c r="D245" s="250">
        <v>0</v>
      </c>
      <c r="E245" s="250">
        <v>0</v>
      </c>
      <c r="F245" s="250">
        <v>0</v>
      </c>
      <c r="G245" s="250">
        <v>0</v>
      </c>
      <c r="H245" s="250">
        <v>0</v>
      </c>
      <c r="I245" s="250">
        <v>0</v>
      </c>
      <c r="J245" s="253">
        <v>0</v>
      </c>
      <c r="K245" s="253">
        <v>0</v>
      </c>
      <c r="L245" s="250">
        <v>0</v>
      </c>
      <c r="M245" s="250">
        <v>0</v>
      </c>
      <c r="N245" s="250">
        <v>0</v>
      </c>
      <c r="O245" s="253">
        <v>0</v>
      </c>
      <c r="P245" s="253">
        <v>0</v>
      </c>
      <c r="Q245" s="250">
        <v>0</v>
      </c>
      <c r="R245" s="253">
        <v>0</v>
      </c>
      <c r="S245" s="253">
        <v>0</v>
      </c>
      <c r="T245" s="253">
        <v>0</v>
      </c>
      <c r="U245" s="253">
        <v>0</v>
      </c>
      <c r="V245" s="247"/>
    </row>
    <row r="246" spans="1:22">
      <c r="A246" s="242"/>
      <c r="B246" s="219" t="s">
        <v>830</v>
      </c>
      <c r="C246" s="239">
        <v>4.3087121212121091E-2</v>
      </c>
      <c r="D246" s="240">
        <v>0.14928484505674866</v>
      </c>
      <c r="E246" s="240">
        <v>0.28858451377913424</v>
      </c>
      <c r="F246" s="240">
        <v>0.5395882681343005</v>
      </c>
      <c r="G246" s="240">
        <v>0.17616580310880789</v>
      </c>
      <c r="H246" s="240">
        <v>0</v>
      </c>
      <c r="I246" s="240">
        <v>0</v>
      </c>
      <c r="J246" s="241">
        <v>0.229025072263842</v>
      </c>
      <c r="K246" s="241">
        <v>0</v>
      </c>
      <c r="L246" s="240">
        <v>0</v>
      </c>
      <c r="M246" s="240">
        <v>0</v>
      </c>
      <c r="N246" s="240">
        <v>0</v>
      </c>
      <c r="O246" s="241">
        <v>0</v>
      </c>
      <c r="P246" s="241">
        <v>0</v>
      </c>
      <c r="Q246" s="240">
        <v>0</v>
      </c>
      <c r="R246" s="241">
        <v>0</v>
      </c>
      <c r="S246" s="241">
        <v>0</v>
      </c>
      <c r="T246" s="241">
        <v>0</v>
      </c>
      <c r="U246" s="241">
        <v>0.229025072263842</v>
      </c>
      <c r="V246" s="247"/>
    </row>
    <row r="247" spans="1:22">
      <c r="A247" s="242"/>
      <c r="B247" s="243" t="s">
        <v>831</v>
      </c>
      <c r="C247" s="244">
        <v>4.341055090519777E-2</v>
      </c>
      <c r="D247" s="245">
        <v>0.16811538326406492</v>
      </c>
      <c r="E247" s="245">
        <v>0.38773420346731607</v>
      </c>
      <c r="F247" s="245">
        <v>0.55804904189565951</v>
      </c>
      <c r="G247" s="245">
        <v>0.1388888888888889</v>
      </c>
      <c r="H247" s="245">
        <v>0</v>
      </c>
      <c r="I247" s="245">
        <v>0</v>
      </c>
      <c r="J247" s="246">
        <v>0.26210316727901611</v>
      </c>
      <c r="K247" s="246">
        <v>0</v>
      </c>
      <c r="L247" s="245">
        <v>0</v>
      </c>
      <c r="M247" s="245">
        <v>0</v>
      </c>
      <c r="N247" s="245">
        <v>0</v>
      </c>
      <c r="O247" s="246">
        <v>0</v>
      </c>
      <c r="P247" s="246">
        <v>0</v>
      </c>
      <c r="Q247" s="245">
        <v>0</v>
      </c>
      <c r="R247" s="246">
        <v>0</v>
      </c>
      <c r="S247" s="246">
        <v>0</v>
      </c>
      <c r="T247" s="246">
        <v>0</v>
      </c>
      <c r="U247" s="246">
        <v>0.26210316727901611</v>
      </c>
      <c r="V247" s="247"/>
    </row>
    <row r="248" spans="1:22">
      <c r="A248" s="242"/>
      <c r="B248" s="248" t="s">
        <v>832</v>
      </c>
      <c r="C248" s="249">
        <v>3.2342969307667946E-2</v>
      </c>
      <c r="D248" s="250">
        <v>1.8830538207316256</v>
      </c>
      <c r="E248" s="250">
        <v>9.914968968818183</v>
      </c>
      <c r="F248" s="250">
        <v>1.8460773761359017</v>
      </c>
      <c r="G248" s="250">
        <v>-3.7276914219918993</v>
      </c>
      <c r="H248" s="250">
        <v>0</v>
      </c>
      <c r="I248" s="250">
        <v>0</v>
      </c>
      <c r="J248" s="253">
        <v>3.3078095015174114</v>
      </c>
      <c r="K248" s="253">
        <v>0</v>
      </c>
      <c r="L248" s="250">
        <v>0</v>
      </c>
      <c r="M248" s="250">
        <v>0</v>
      </c>
      <c r="N248" s="250">
        <v>0</v>
      </c>
      <c r="O248" s="253">
        <v>0</v>
      </c>
      <c r="P248" s="253">
        <v>0</v>
      </c>
      <c r="Q248" s="250">
        <v>0</v>
      </c>
      <c r="R248" s="253">
        <v>0</v>
      </c>
      <c r="S248" s="253">
        <v>0</v>
      </c>
      <c r="T248" s="253">
        <v>0</v>
      </c>
      <c r="U248" s="253">
        <v>3.3078095015174114</v>
      </c>
      <c r="V248" s="247"/>
    </row>
    <row r="249" spans="1:22">
      <c r="A249" s="242"/>
      <c r="B249" s="219" t="s">
        <v>833</v>
      </c>
      <c r="C249" s="239">
        <v>0</v>
      </c>
      <c r="D249" s="240">
        <v>0</v>
      </c>
      <c r="E249" s="240">
        <v>0</v>
      </c>
      <c r="F249" s="240">
        <v>0</v>
      </c>
      <c r="G249" s="240">
        <v>0</v>
      </c>
      <c r="H249" s="240">
        <v>0</v>
      </c>
      <c r="I249" s="240">
        <v>0</v>
      </c>
      <c r="J249" s="241">
        <v>0</v>
      </c>
      <c r="K249" s="241">
        <v>0</v>
      </c>
      <c r="L249" s="240">
        <v>0</v>
      </c>
      <c r="M249" s="240">
        <v>0</v>
      </c>
      <c r="N249" s="240">
        <v>0</v>
      </c>
      <c r="O249" s="241">
        <v>0</v>
      </c>
      <c r="P249" s="241">
        <v>0</v>
      </c>
      <c r="Q249" s="240">
        <v>0</v>
      </c>
      <c r="R249" s="241">
        <v>0</v>
      </c>
      <c r="S249" s="241">
        <v>0</v>
      </c>
      <c r="T249" s="241">
        <v>0</v>
      </c>
      <c r="U249" s="241">
        <v>0</v>
      </c>
      <c r="V249" s="247"/>
    </row>
    <row r="250" spans="1:22">
      <c r="A250" s="242"/>
      <c r="B250" s="243" t="s">
        <v>834</v>
      </c>
      <c r="C250" s="244">
        <v>0</v>
      </c>
      <c r="D250" s="245">
        <v>0</v>
      </c>
      <c r="E250" s="245">
        <v>0</v>
      </c>
      <c r="F250" s="245">
        <v>0</v>
      </c>
      <c r="G250" s="245">
        <v>0</v>
      </c>
      <c r="H250" s="245">
        <v>0</v>
      </c>
      <c r="I250" s="245">
        <v>0</v>
      </c>
      <c r="J250" s="246">
        <v>0</v>
      </c>
      <c r="K250" s="246">
        <v>0</v>
      </c>
      <c r="L250" s="245">
        <v>0</v>
      </c>
      <c r="M250" s="245">
        <v>0</v>
      </c>
      <c r="N250" s="245">
        <v>0</v>
      </c>
      <c r="O250" s="246">
        <v>0</v>
      </c>
      <c r="P250" s="246">
        <v>0</v>
      </c>
      <c r="Q250" s="245">
        <v>0</v>
      </c>
      <c r="R250" s="246">
        <v>0</v>
      </c>
      <c r="S250" s="246">
        <v>0</v>
      </c>
      <c r="T250" s="246">
        <v>0</v>
      </c>
      <c r="U250" s="246">
        <v>0</v>
      </c>
      <c r="V250" s="247"/>
    </row>
    <row r="251" spans="1:22">
      <c r="A251" s="242"/>
      <c r="B251" s="248" t="s">
        <v>835</v>
      </c>
      <c r="C251" s="249">
        <v>0</v>
      </c>
      <c r="D251" s="250">
        <v>0</v>
      </c>
      <c r="E251" s="250">
        <v>0</v>
      </c>
      <c r="F251" s="250">
        <v>0</v>
      </c>
      <c r="G251" s="250">
        <v>0</v>
      </c>
      <c r="H251" s="250">
        <v>0</v>
      </c>
      <c r="I251" s="250">
        <v>0</v>
      </c>
      <c r="J251" s="253">
        <v>0</v>
      </c>
      <c r="K251" s="253">
        <v>0</v>
      </c>
      <c r="L251" s="250">
        <v>0</v>
      </c>
      <c r="M251" s="250">
        <v>0</v>
      </c>
      <c r="N251" s="250">
        <v>0</v>
      </c>
      <c r="O251" s="253">
        <v>0</v>
      </c>
      <c r="P251" s="253">
        <v>0</v>
      </c>
      <c r="Q251" s="250">
        <v>0</v>
      </c>
      <c r="R251" s="253">
        <v>0</v>
      </c>
      <c r="S251" s="253">
        <v>0</v>
      </c>
      <c r="T251" s="253">
        <v>0</v>
      </c>
      <c r="U251" s="253">
        <v>0</v>
      </c>
      <c r="V251" s="247"/>
    </row>
    <row r="252" spans="1:22">
      <c r="A252" s="242"/>
      <c r="B252" s="219" t="s">
        <v>836</v>
      </c>
      <c r="C252" s="239">
        <v>0</v>
      </c>
      <c r="D252" s="240">
        <v>0</v>
      </c>
      <c r="E252" s="240">
        <v>0</v>
      </c>
      <c r="F252" s="240">
        <v>0</v>
      </c>
      <c r="G252" s="240">
        <v>0</v>
      </c>
      <c r="H252" s="240">
        <v>0</v>
      </c>
      <c r="I252" s="240">
        <v>0</v>
      </c>
      <c r="J252" s="241">
        <v>0</v>
      </c>
      <c r="K252" s="241">
        <v>0</v>
      </c>
      <c r="L252" s="240">
        <v>0</v>
      </c>
      <c r="M252" s="240">
        <v>0</v>
      </c>
      <c r="N252" s="240">
        <v>0</v>
      </c>
      <c r="O252" s="241">
        <v>0</v>
      </c>
      <c r="P252" s="241">
        <v>0</v>
      </c>
      <c r="Q252" s="240">
        <v>0</v>
      </c>
      <c r="R252" s="241">
        <v>0</v>
      </c>
      <c r="S252" s="241">
        <v>0</v>
      </c>
      <c r="T252" s="241">
        <v>0</v>
      </c>
      <c r="U252" s="241">
        <v>0</v>
      </c>
      <c r="V252" s="247"/>
    </row>
    <row r="253" spans="1:22">
      <c r="A253" s="242"/>
      <c r="B253" s="243" t="s">
        <v>837</v>
      </c>
      <c r="C253" s="244">
        <v>0</v>
      </c>
      <c r="D253" s="245">
        <v>0</v>
      </c>
      <c r="E253" s="245">
        <v>0</v>
      </c>
      <c r="F253" s="245">
        <v>0</v>
      </c>
      <c r="G253" s="245">
        <v>0</v>
      </c>
      <c r="H253" s="245">
        <v>0</v>
      </c>
      <c r="I253" s="245">
        <v>0</v>
      </c>
      <c r="J253" s="246">
        <v>0</v>
      </c>
      <c r="K253" s="246">
        <v>0</v>
      </c>
      <c r="L253" s="245">
        <v>0</v>
      </c>
      <c r="M253" s="245">
        <v>0</v>
      </c>
      <c r="N253" s="245">
        <v>0</v>
      </c>
      <c r="O253" s="246">
        <v>0</v>
      </c>
      <c r="P253" s="246">
        <v>0</v>
      </c>
      <c r="Q253" s="245">
        <v>0</v>
      </c>
      <c r="R253" s="246">
        <v>0</v>
      </c>
      <c r="S253" s="246">
        <v>0</v>
      </c>
      <c r="T253" s="246">
        <v>0</v>
      </c>
      <c r="U253" s="246">
        <v>0</v>
      </c>
      <c r="V253" s="247"/>
    </row>
    <row r="254" spans="1:22">
      <c r="A254" s="242"/>
      <c r="B254" s="248" t="s">
        <v>838</v>
      </c>
      <c r="C254" s="249">
        <v>0</v>
      </c>
      <c r="D254" s="250">
        <v>0</v>
      </c>
      <c r="E254" s="250">
        <v>0</v>
      </c>
      <c r="F254" s="250">
        <v>0</v>
      </c>
      <c r="G254" s="250">
        <v>0</v>
      </c>
      <c r="H254" s="250">
        <v>0</v>
      </c>
      <c r="I254" s="250">
        <v>0</v>
      </c>
      <c r="J254" s="253">
        <v>0</v>
      </c>
      <c r="K254" s="253">
        <v>0</v>
      </c>
      <c r="L254" s="250">
        <v>0</v>
      </c>
      <c r="M254" s="250">
        <v>0</v>
      </c>
      <c r="N254" s="250">
        <v>0</v>
      </c>
      <c r="O254" s="253">
        <v>0</v>
      </c>
      <c r="P254" s="253">
        <v>0</v>
      </c>
      <c r="Q254" s="250">
        <v>0</v>
      </c>
      <c r="R254" s="253">
        <v>0</v>
      </c>
      <c r="S254" s="253">
        <v>0</v>
      </c>
      <c r="T254" s="253">
        <v>0</v>
      </c>
      <c r="U254" s="253">
        <v>0</v>
      </c>
      <c r="V254" s="247"/>
    </row>
    <row r="255" spans="1:22">
      <c r="A255" s="242"/>
      <c r="B255" s="219" t="s">
        <v>839</v>
      </c>
      <c r="C255" s="239">
        <v>0</v>
      </c>
      <c r="D255" s="240">
        <v>0</v>
      </c>
      <c r="E255" s="240">
        <v>0</v>
      </c>
      <c r="F255" s="240">
        <v>0</v>
      </c>
      <c r="G255" s="240">
        <v>0</v>
      </c>
      <c r="H255" s="240">
        <v>0</v>
      </c>
      <c r="I255" s="240">
        <v>0</v>
      </c>
      <c r="J255" s="241">
        <v>0</v>
      </c>
      <c r="K255" s="241">
        <v>0</v>
      </c>
      <c r="L255" s="240">
        <v>0</v>
      </c>
      <c r="M255" s="240">
        <v>0</v>
      </c>
      <c r="N255" s="240">
        <v>0</v>
      </c>
      <c r="O255" s="241">
        <v>0</v>
      </c>
      <c r="P255" s="241">
        <v>0</v>
      </c>
      <c r="Q255" s="240">
        <v>0</v>
      </c>
      <c r="R255" s="241">
        <v>0</v>
      </c>
      <c r="S255" s="241">
        <v>0</v>
      </c>
      <c r="T255" s="241">
        <v>0</v>
      </c>
      <c r="U255" s="241">
        <v>0</v>
      </c>
      <c r="V255" s="247"/>
    </row>
    <row r="256" spans="1:22">
      <c r="A256" s="242"/>
      <c r="B256" s="243" t="s">
        <v>840</v>
      </c>
      <c r="C256" s="244">
        <v>0</v>
      </c>
      <c r="D256" s="245">
        <v>0</v>
      </c>
      <c r="E256" s="245">
        <v>0</v>
      </c>
      <c r="F256" s="245">
        <v>0</v>
      </c>
      <c r="G256" s="245">
        <v>0</v>
      </c>
      <c r="H256" s="245">
        <v>0</v>
      </c>
      <c r="I256" s="245">
        <v>0</v>
      </c>
      <c r="J256" s="246">
        <v>0</v>
      </c>
      <c r="K256" s="246">
        <v>0</v>
      </c>
      <c r="L256" s="245">
        <v>0</v>
      </c>
      <c r="M256" s="245">
        <v>0</v>
      </c>
      <c r="N256" s="245">
        <v>0</v>
      </c>
      <c r="O256" s="246">
        <v>0</v>
      </c>
      <c r="P256" s="246">
        <v>0</v>
      </c>
      <c r="Q256" s="245">
        <v>0</v>
      </c>
      <c r="R256" s="246">
        <v>0</v>
      </c>
      <c r="S256" s="246">
        <v>0</v>
      </c>
      <c r="T256" s="246">
        <v>0</v>
      </c>
      <c r="U256" s="246">
        <v>0</v>
      </c>
      <c r="V256" s="247"/>
    </row>
    <row r="257" spans="1:22" ht="15.75" thickBot="1">
      <c r="A257" s="261"/>
      <c r="B257" s="262" t="s">
        <v>841</v>
      </c>
      <c r="C257" s="263">
        <v>0</v>
      </c>
      <c r="D257" s="264">
        <v>0</v>
      </c>
      <c r="E257" s="264">
        <v>0</v>
      </c>
      <c r="F257" s="264">
        <v>0</v>
      </c>
      <c r="G257" s="264">
        <v>0</v>
      </c>
      <c r="H257" s="264">
        <v>0</v>
      </c>
      <c r="I257" s="264">
        <v>0</v>
      </c>
      <c r="J257" s="265">
        <v>0</v>
      </c>
      <c r="K257" s="265">
        <v>0</v>
      </c>
      <c r="L257" s="264">
        <v>0</v>
      </c>
      <c r="M257" s="264">
        <v>0</v>
      </c>
      <c r="N257" s="264">
        <v>0</v>
      </c>
      <c r="O257" s="265">
        <v>0</v>
      </c>
      <c r="P257" s="265">
        <v>0</v>
      </c>
      <c r="Q257" s="264">
        <v>0</v>
      </c>
      <c r="R257" s="265">
        <v>0</v>
      </c>
      <c r="S257" s="265">
        <v>0</v>
      </c>
      <c r="T257" s="265">
        <v>0</v>
      </c>
      <c r="U257" s="265">
        <v>0</v>
      </c>
      <c r="V257" s="247"/>
    </row>
    <row r="258" spans="1:22">
      <c r="A258" s="238" t="s">
        <v>326</v>
      </c>
      <c r="B258" s="219" t="s">
        <v>806</v>
      </c>
      <c r="C258" s="239">
        <v>0.93668378143679765</v>
      </c>
      <c r="D258" s="240">
        <v>0.87667822990803834</v>
      </c>
      <c r="E258" s="240">
        <v>0.85314703493095045</v>
      </c>
      <c r="F258" s="240">
        <v>0.8373185326158733</v>
      </c>
      <c r="G258" s="240">
        <v>0.76428464194565382</v>
      </c>
      <c r="H258" s="240">
        <v>1</v>
      </c>
      <c r="I258" s="240">
        <v>1.3711689494394778E-2</v>
      </c>
      <c r="J258" s="241">
        <v>0.68064087310607102</v>
      </c>
      <c r="K258" s="241">
        <v>0</v>
      </c>
      <c r="L258" s="240">
        <v>0.68461453458639465</v>
      </c>
      <c r="M258" s="240">
        <v>0.69142462856215781</v>
      </c>
      <c r="N258" s="240">
        <v>0.74499612890124256</v>
      </c>
      <c r="O258" s="241">
        <v>0.68958576659224435</v>
      </c>
      <c r="P258" s="241">
        <v>0</v>
      </c>
      <c r="Q258" s="240">
        <v>0</v>
      </c>
      <c r="R258" s="241">
        <v>0</v>
      </c>
      <c r="S258" s="241">
        <v>0</v>
      </c>
      <c r="T258" s="241">
        <v>0</v>
      </c>
      <c r="U258" s="241">
        <v>0.68449512367908083</v>
      </c>
      <c r="V258" s="247"/>
    </row>
    <row r="259" spans="1:22">
      <c r="A259" s="242"/>
      <c r="B259" s="243" t="s">
        <v>807</v>
      </c>
      <c r="C259" s="244">
        <v>0.93844161172161167</v>
      </c>
      <c r="D259" s="245">
        <v>0.87185261574734352</v>
      </c>
      <c r="E259" s="245">
        <v>0.84567820539636063</v>
      </c>
      <c r="F259" s="245">
        <v>0.83726168573294479</v>
      </c>
      <c r="G259" s="245">
        <v>0.76907722772277232</v>
      </c>
      <c r="H259" s="245">
        <v>1</v>
      </c>
      <c r="I259" s="245">
        <v>1.4005240093331503E-2</v>
      </c>
      <c r="J259" s="246">
        <v>0.67657455109783993</v>
      </c>
      <c r="K259" s="246">
        <v>0</v>
      </c>
      <c r="L259" s="245">
        <v>0.66627370281934062</v>
      </c>
      <c r="M259" s="245">
        <v>0.67982515747203154</v>
      </c>
      <c r="N259" s="245">
        <v>0.71038074628806547</v>
      </c>
      <c r="O259" s="246">
        <v>0.67131552450775744</v>
      </c>
      <c r="P259" s="246">
        <v>0</v>
      </c>
      <c r="Q259" s="245">
        <v>0</v>
      </c>
      <c r="R259" s="246">
        <v>0</v>
      </c>
      <c r="S259" s="246">
        <v>0</v>
      </c>
      <c r="T259" s="246">
        <v>0</v>
      </c>
      <c r="U259" s="246">
        <v>0.67430295171300925</v>
      </c>
      <c r="V259" s="247"/>
    </row>
    <row r="260" spans="1:22" s="270" customFormat="1">
      <c r="A260" s="242"/>
      <c r="B260" s="248" t="s">
        <v>808</v>
      </c>
      <c r="C260" s="249">
        <v>0.17578302848140215</v>
      </c>
      <c r="D260" s="250">
        <v>-0.48256141606948244</v>
      </c>
      <c r="E260" s="250">
        <v>-0.7468829534589827</v>
      </c>
      <c r="F260" s="250">
        <v>-5.684688292850737E-3</v>
      </c>
      <c r="G260" s="250">
        <v>0.47925857771184965</v>
      </c>
      <c r="H260" s="250">
        <v>0</v>
      </c>
      <c r="I260" s="250">
        <v>2.9355059893672493E-2</v>
      </c>
      <c r="J260" s="253">
        <v>-0.40663220082310936</v>
      </c>
      <c r="K260" s="253">
        <v>0</v>
      </c>
      <c r="L260" s="250">
        <v>-1.8340831767054033</v>
      </c>
      <c r="M260" s="250">
        <v>-1.1599471090126268</v>
      </c>
      <c r="N260" s="250">
        <v>-3.4615382613177093</v>
      </c>
      <c r="O260" s="253">
        <v>-1.827024208448691</v>
      </c>
      <c r="P260" s="253">
        <v>0</v>
      </c>
      <c r="Q260" s="250">
        <v>0</v>
      </c>
      <c r="R260" s="253">
        <v>0</v>
      </c>
      <c r="S260" s="253">
        <v>0</v>
      </c>
      <c r="T260" s="253">
        <v>0</v>
      </c>
      <c r="U260" s="253">
        <v>-1.0192171966071584</v>
      </c>
      <c r="V260" s="247"/>
    </row>
    <row r="261" spans="1:22">
      <c r="A261" s="242"/>
      <c r="B261" s="219" t="s">
        <v>809</v>
      </c>
      <c r="C261" s="239">
        <v>2.4069075742192064E-2</v>
      </c>
      <c r="D261" s="240">
        <v>1.4668456247535676E-2</v>
      </c>
      <c r="E261" s="240">
        <v>2.298294069861901E-2</v>
      </c>
      <c r="F261" s="240">
        <v>1.6821819093060977E-2</v>
      </c>
      <c r="G261" s="240">
        <v>2.6797778111394686E-2</v>
      </c>
      <c r="H261" s="240">
        <v>0</v>
      </c>
      <c r="I261" s="240">
        <v>7.2383069306061323E-2</v>
      </c>
      <c r="J261" s="241">
        <v>3.211720172654571E-2</v>
      </c>
      <c r="K261" s="241">
        <v>0</v>
      </c>
      <c r="L261" s="240">
        <v>0.14948076077989964</v>
      </c>
      <c r="M261" s="240">
        <v>6.2866380110752101E-2</v>
      </c>
      <c r="N261" s="240">
        <v>4.9721407810735002E-2</v>
      </c>
      <c r="O261" s="241">
        <v>0.12652257949538132</v>
      </c>
      <c r="P261" s="241">
        <v>0</v>
      </c>
      <c r="Q261" s="240">
        <v>0</v>
      </c>
      <c r="R261" s="241">
        <v>0</v>
      </c>
      <c r="S261" s="241">
        <v>0</v>
      </c>
      <c r="T261" s="241">
        <v>0</v>
      </c>
      <c r="U261" s="241">
        <v>7.2795381061290049E-2</v>
      </c>
      <c r="V261" s="247"/>
    </row>
    <row r="262" spans="1:22">
      <c r="A262" s="242"/>
      <c r="B262" s="243" t="s">
        <v>810</v>
      </c>
      <c r="C262" s="244">
        <v>1.9421538461538462E-2</v>
      </c>
      <c r="D262" s="245">
        <v>1.5616491365949307E-2</v>
      </c>
      <c r="E262" s="245">
        <v>2.0800107195147459E-2</v>
      </c>
      <c r="F262" s="245">
        <v>1.2941992930500305E-2</v>
      </c>
      <c r="G262" s="245">
        <v>2.4776237623762375E-2</v>
      </c>
      <c r="H262" s="245">
        <v>0</v>
      </c>
      <c r="I262" s="245">
        <v>6.3720564302660737E-2</v>
      </c>
      <c r="J262" s="246">
        <v>2.8233656939148453E-2</v>
      </c>
      <c r="K262" s="246">
        <v>0</v>
      </c>
      <c r="L262" s="245">
        <v>0.16479633873683622</v>
      </c>
      <c r="M262" s="245">
        <v>5.6288260645028794E-2</v>
      </c>
      <c r="N262" s="245">
        <v>6.0457935854303445E-2</v>
      </c>
      <c r="O262" s="246">
        <v>0.13852347066190876</v>
      </c>
      <c r="P262" s="246">
        <v>0</v>
      </c>
      <c r="Q262" s="245">
        <v>0</v>
      </c>
      <c r="R262" s="246">
        <v>0</v>
      </c>
      <c r="S262" s="246">
        <v>0</v>
      </c>
      <c r="T262" s="246">
        <v>0</v>
      </c>
      <c r="U262" s="246">
        <v>7.5872562868654056E-2</v>
      </c>
      <c r="V262" s="247"/>
    </row>
    <row r="263" spans="1:22" s="270" customFormat="1">
      <c r="A263" s="242"/>
      <c r="B263" s="248" t="s">
        <v>811</v>
      </c>
      <c r="C263" s="249">
        <v>-0.46475372806536014</v>
      </c>
      <c r="D263" s="250">
        <v>9.4803511841363125E-2</v>
      </c>
      <c r="E263" s="250">
        <v>-0.21828335034715513</v>
      </c>
      <c r="F263" s="250">
        <v>-0.38798261625606728</v>
      </c>
      <c r="G263" s="250">
        <v>-0.20215404876323118</v>
      </c>
      <c r="H263" s="250">
        <v>0</v>
      </c>
      <c r="I263" s="250">
        <v>-0.86625050034005868</v>
      </c>
      <c r="J263" s="253">
        <v>-0.38835447873972578</v>
      </c>
      <c r="K263" s="253">
        <v>0</v>
      </c>
      <c r="L263" s="250">
        <v>1.5315577956936584</v>
      </c>
      <c r="M263" s="250">
        <v>-0.65781194657233077</v>
      </c>
      <c r="N263" s="250">
        <v>1.0736528043568443</v>
      </c>
      <c r="O263" s="253">
        <v>1.2000891166527445</v>
      </c>
      <c r="P263" s="253">
        <v>0</v>
      </c>
      <c r="Q263" s="250">
        <v>0</v>
      </c>
      <c r="R263" s="253">
        <v>0</v>
      </c>
      <c r="S263" s="253">
        <v>0</v>
      </c>
      <c r="T263" s="253">
        <v>0</v>
      </c>
      <c r="U263" s="253">
        <v>0.30771818073640073</v>
      </c>
      <c r="V263" s="247"/>
    </row>
    <row r="264" spans="1:22">
      <c r="A264" s="242"/>
      <c r="B264" s="219" t="s">
        <v>812</v>
      </c>
      <c r="C264" s="239">
        <v>3.8414890452222572E-2</v>
      </c>
      <c r="D264" s="240">
        <v>0.10865331384442595</v>
      </c>
      <c r="E264" s="240">
        <v>0.12387002437043054</v>
      </c>
      <c r="F264" s="240">
        <v>0.13317259338776366</v>
      </c>
      <c r="G264" s="240">
        <v>0.20891757994295151</v>
      </c>
      <c r="H264" s="240">
        <v>0</v>
      </c>
      <c r="I264" s="240">
        <v>0.9137923464914206</v>
      </c>
      <c r="J264" s="241">
        <v>0.28484616491598191</v>
      </c>
      <c r="K264" s="241">
        <v>0</v>
      </c>
      <c r="L264" s="240">
        <v>0.16560043379153849</v>
      </c>
      <c r="M264" s="240">
        <v>0.24030625907703976</v>
      </c>
      <c r="N264" s="240">
        <v>0.1949828021678153</v>
      </c>
      <c r="O264" s="241">
        <v>0.18198749735161995</v>
      </c>
      <c r="P264" s="241">
        <v>0</v>
      </c>
      <c r="Q264" s="240">
        <v>0</v>
      </c>
      <c r="R264" s="241">
        <v>0</v>
      </c>
      <c r="S264" s="241">
        <v>0</v>
      </c>
      <c r="T264" s="241">
        <v>0</v>
      </c>
      <c r="U264" s="241">
        <v>0.24052556132111771</v>
      </c>
      <c r="V264" s="247"/>
    </row>
    <row r="265" spans="1:22">
      <c r="A265" s="242"/>
      <c r="B265" s="243" t="s">
        <v>813</v>
      </c>
      <c r="C265" s="244">
        <v>4.1215531135531135E-2</v>
      </c>
      <c r="D265" s="245">
        <v>0.11253089288670713</v>
      </c>
      <c r="E265" s="245">
        <v>0.13335991424388202</v>
      </c>
      <c r="F265" s="245">
        <v>0.14005316618439698</v>
      </c>
      <c r="G265" s="245">
        <v>0.20614653465346536</v>
      </c>
      <c r="H265" s="245">
        <v>0</v>
      </c>
      <c r="I265" s="245">
        <v>0.92227419560400781</v>
      </c>
      <c r="J265" s="246">
        <v>0.29329600753372492</v>
      </c>
      <c r="K265" s="246">
        <v>0</v>
      </c>
      <c r="L265" s="245">
        <v>0.16872647716410091</v>
      </c>
      <c r="M265" s="245">
        <v>0.25961820142124992</v>
      </c>
      <c r="N265" s="245">
        <v>0.22033870048114274</v>
      </c>
      <c r="O265" s="246">
        <v>0.18870642640305424</v>
      </c>
      <c r="P265" s="246">
        <v>0</v>
      </c>
      <c r="Q265" s="245">
        <v>0</v>
      </c>
      <c r="R265" s="246">
        <v>0</v>
      </c>
      <c r="S265" s="246">
        <v>0</v>
      </c>
      <c r="T265" s="246">
        <v>0</v>
      </c>
      <c r="U265" s="246">
        <v>0.24811927680485454</v>
      </c>
      <c r="V265" s="247"/>
    </row>
    <row r="266" spans="1:22" s="270" customFormat="1">
      <c r="A266" s="242"/>
      <c r="B266" s="248" t="s">
        <v>814</v>
      </c>
      <c r="C266" s="249">
        <v>0.28006406833085629</v>
      </c>
      <c r="D266" s="250">
        <v>0.38775790422811846</v>
      </c>
      <c r="E266" s="250">
        <v>0.94898898734514792</v>
      </c>
      <c r="F266" s="250">
        <v>0.68805727966333163</v>
      </c>
      <c r="G266" s="250">
        <v>-0.2771045289486157</v>
      </c>
      <c r="H266" s="250">
        <v>0</v>
      </c>
      <c r="I266" s="250">
        <v>0.84818491125872031</v>
      </c>
      <c r="J266" s="253">
        <v>0.84498426177430086</v>
      </c>
      <c r="K266" s="253">
        <v>0</v>
      </c>
      <c r="L266" s="250">
        <v>0.31260433725624204</v>
      </c>
      <c r="M266" s="250">
        <v>1.931194234421016</v>
      </c>
      <c r="N266" s="250">
        <v>2.5355898313327434</v>
      </c>
      <c r="O266" s="253">
        <v>0.67189290514342859</v>
      </c>
      <c r="P266" s="253">
        <v>0</v>
      </c>
      <c r="Q266" s="250">
        <v>0</v>
      </c>
      <c r="R266" s="253">
        <v>0</v>
      </c>
      <c r="S266" s="253">
        <v>0</v>
      </c>
      <c r="T266" s="253">
        <v>0</v>
      </c>
      <c r="U266" s="253">
        <v>0.75937154837368293</v>
      </c>
      <c r="V266" s="247"/>
    </row>
    <row r="267" spans="1:22">
      <c r="A267" s="242"/>
      <c r="B267" s="219" t="s">
        <v>815</v>
      </c>
      <c r="C267" s="239">
        <v>8.3225236878776596E-4</v>
      </c>
      <c r="D267" s="240">
        <v>0</v>
      </c>
      <c r="E267" s="240">
        <v>0</v>
      </c>
      <c r="F267" s="240">
        <v>1.2687054903302054E-2</v>
      </c>
      <c r="G267" s="240">
        <v>0</v>
      </c>
      <c r="H267" s="240">
        <v>0</v>
      </c>
      <c r="I267" s="240">
        <v>1.1289470812327601E-4</v>
      </c>
      <c r="J267" s="241">
        <v>2.3957602514013635E-3</v>
      </c>
      <c r="K267" s="241">
        <v>0</v>
      </c>
      <c r="L267" s="240">
        <v>3.0427084216721019E-4</v>
      </c>
      <c r="M267" s="240">
        <v>5.3069529880197738E-3</v>
      </c>
      <c r="N267" s="240">
        <v>1.0299661120207136E-2</v>
      </c>
      <c r="O267" s="241">
        <v>1.8854171208112572E-3</v>
      </c>
      <c r="P267" s="241">
        <v>0</v>
      </c>
      <c r="Q267" s="240">
        <v>0</v>
      </c>
      <c r="R267" s="241">
        <v>0</v>
      </c>
      <c r="S267" s="241">
        <v>0</v>
      </c>
      <c r="T267" s="241">
        <v>0</v>
      </c>
      <c r="U267" s="241">
        <v>2.1758593317818004E-3</v>
      </c>
      <c r="V267" s="247"/>
    </row>
    <row r="268" spans="1:22">
      <c r="A268" s="242"/>
      <c r="B268" s="243" t="s">
        <v>816</v>
      </c>
      <c r="C268" s="244">
        <v>9.2131868131868134E-4</v>
      </c>
      <c r="D268" s="245">
        <v>0</v>
      </c>
      <c r="E268" s="245">
        <v>1.6177316460991425E-4</v>
      </c>
      <c r="F268" s="245">
        <v>9.7431551521579372E-3</v>
      </c>
      <c r="G268" s="245">
        <v>0</v>
      </c>
      <c r="H268" s="245">
        <v>0</v>
      </c>
      <c r="I268" s="245">
        <v>0</v>
      </c>
      <c r="J268" s="246">
        <v>1.8957844292867238E-3</v>
      </c>
      <c r="K268" s="246">
        <v>0</v>
      </c>
      <c r="L268" s="245">
        <v>2.0348127972226555E-4</v>
      </c>
      <c r="M268" s="245">
        <v>4.1455638540656824E-3</v>
      </c>
      <c r="N268" s="245">
        <v>8.8226173764883575E-3</v>
      </c>
      <c r="O268" s="246">
        <v>1.4315318599902147E-3</v>
      </c>
      <c r="P268" s="246">
        <v>0</v>
      </c>
      <c r="Q268" s="245">
        <v>0</v>
      </c>
      <c r="R268" s="246">
        <v>0</v>
      </c>
      <c r="S268" s="246">
        <v>0</v>
      </c>
      <c r="T268" s="246">
        <v>0</v>
      </c>
      <c r="U268" s="246">
        <v>1.6952538115467869E-3</v>
      </c>
      <c r="V268" s="247"/>
    </row>
    <row r="269" spans="1:22" s="270" customFormat="1">
      <c r="A269" s="242"/>
      <c r="B269" s="248" t="s">
        <v>817</v>
      </c>
      <c r="C269" s="249">
        <v>8.9066312530915372E-3</v>
      </c>
      <c r="D269" s="250">
        <v>0</v>
      </c>
      <c r="E269" s="250">
        <v>0</v>
      </c>
      <c r="F269" s="250">
        <v>-0.29438997511441173</v>
      </c>
      <c r="G269" s="250">
        <v>0</v>
      </c>
      <c r="H269" s="250">
        <v>0</v>
      </c>
      <c r="I269" s="250">
        <v>-1.12894708123276E-2</v>
      </c>
      <c r="J269" s="253">
        <v>-4.9997582211463977E-2</v>
      </c>
      <c r="K269" s="253">
        <v>0</v>
      </c>
      <c r="L269" s="250">
        <v>-1.0078956244494465E-2</v>
      </c>
      <c r="M269" s="250">
        <v>-0.11613891339540913</v>
      </c>
      <c r="N269" s="250">
        <v>-0.14770437437187783</v>
      </c>
      <c r="O269" s="253">
        <v>-4.5388526082104252E-2</v>
      </c>
      <c r="P269" s="253">
        <v>0</v>
      </c>
      <c r="Q269" s="250">
        <v>0</v>
      </c>
      <c r="R269" s="253">
        <v>0</v>
      </c>
      <c r="S269" s="253">
        <v>0</v>
      </c>
      <c r="T269" s="253">
        <v>0</v>
      </c>
      <c r="U269" s="253">
        <v>-4.8060552023501353E-2</v>
      </c>
      <c r="V269" s="247"/>
    </row>
    <row r="270" spans="1:22">
      <c r="A270" s="242"/>
      <c r="B270" s="219" t="s">
        <v>818</v>
      </c>
      <c r="C270" s="239">
        <v>0</v>
      </c>
      <c r="D270" s="240">
        <v>0</v>
      </c>
      <c r="E270" s="240">
        <v>0</v>
      </c>
      <c r="F270" s="240">
        <v>0</v>
      </c>
      <c r="G270" s="240">
        <v>0</v>
      </c>
      <c r="H270" s="240">
        <v>0</v>
      </c>
      <c r="I270" s="240">
        <v>0</v>
      </c>
      <c r="J270" s="241">
        <v>0</v>
      </c>
      <c r="K270" s="241">
        <v>0</v>
      </c>
      <c r="L270" s="240">
        <v>0</v>
      </c>
      <c r="M270" s="240">
        <v>0</v>
      </c>
      <c r="N270" s="240">
        <v>0</v>
      </c>
      <c r="O270" s="241">
        <v>0</v>
      </c>
      <c r="P270" s="241">
        <v>0</v>
      </c>
      <c r="Q270" s="240">
        <v>0</v>
      </c>
      <c r="R270" s="241">
        <v>0</v>
      </c>
      <c r="S270" s="241">
        <v>0</v>
      </c>
      <c r="T270" s="241">
        <v>0</v>
      </c>
      <c r="U270" s="241">
        <v>0</v>
      </c>
      <c r="V270" s="247"/>
    </row>
    <row r="271" spans="1:22">
      <c r="A271" s="242"/>
      <c r="B271" s="243" t="s">
        <v>819</v>
      </c>
      <c r="C271" s="244">
        <v>0</v>
      </c>
      <c r="D271" s="245">
        <v>0</v>
      </c>
      <c r="E271" s="245">
        <v>0</v>
      </c>
      <c r="F271" s="245">
        <v>0</v>
      </c>
      <c r="G271" s="245">
        <v>0</v>
      </c>
      <c r="H271" s="245">
        <v>0</v>
      </c>
      <c r="I271" s="245">
        <v>0</v>
      </c>
      <c r="J271" s="246">
        <v>0</v>
      </c>
      <c r="K271" s="246">
        <v>0</v>
      </c>
      <c r="L271" s="245">
        <v>0</v>
      </c>
      <c r="M271" s="245">
        <v>0</v>
      </c>
      <c r="N271" s="245">
        <v>0</v>
      </c>
      <c r="O271" s="246">
        <v>0</v>
      </c>
      <c r="P271" s="246">
        <v>0</v>
      </c>
      <c r="Q271" s="245">
        <v>0</v>
      </c>
      <c r="R271" s="246">
        <v>0</v>
      </c>
      <c r="S271" s="246">
        <v>0</v>
      </c>
      <c r="T271" s="246">
        <v>0</v>
      </c>
      <c r="U271" s="246">
        <v>0</v>
      </c>
      <c r="V271" s="247"/>
    </row>
    <row r="272" spans="1:22" s="270" customFormat="1">
      <c r="A272" s="242"/>
      <c r="B272" s="248" t="s">
        <v>820</v>
      </c>
      <c r="C272" s="249">
        <v>0</v>
      </c>
      <c r="D272" s="250">
        <v>0</v>
      </c>
      <c r="E272" s="250">
        <v>0</v>
      </c>
      <c r="F272" s="250">
        <v>0</v>
      </c>
      <c r="G272" s="250">
        <v>0</v>
      </c>
      <c r="H272" s="250">
        <v>0</v>
      </c>
      <c r="I272" s="250">
        <v>0</v>
      </c>
      <c r="J272" s="253">
        <v>0</v>
      </c>
      <c r="K272" s="253">
        <v>0</v>
      </c>
      <c r="L272" s="250">
        <v>0</v>
      </c>
      <c r="M272" s="250">
        <v>0</v>
      </c>
      <c r="N272" s="250">
        <v>0</v>
      </c>
      <c r="O272" s="253">
        <v>0</v>
      </c>
      <c r="P272" s="253">
        <v>0</v>
      </c>
      <c r="Q272" s="250">
        <v>0</v>
      </c>
      <c r="R272" s="253">
        <v>0</v>
      </c>
      <c r="S272" s="253">
        <v>0</v>
      </c>
      <c r="T272" s="253">
        <v>0</v>
      </c>
      <c r="U272" s="253">
        <v>0</v>
      </c>
      <c r="V272" s="247"/>
    </row>
    <row r="273" spans="1:22">
      <c r="A273" s="242"/>
      <c r="B273" s="219" t="s">
        <v>821</v>
      </c>
      <c r="C273" s="239">
        <v>0</v>
      </c>
      <c r="D273" s="240">
        <v>0</v>
      </c>
      <c r="E273" s="240">
        <v>0</v>
      </c>
      <c r="F273" s="240">
        <v>0</v>
      </c>
      <c r="G273" s="240">
        <v>0</v>
      </c>
      <c r="H273" s="240">
        <v>0</v>
      </c>
      <c r="I273" s="240">
        <v>0</v>
      </c>
      <c r="J273" s="241">
        <v>0</v>
      </c>
      <c r="K273" s="241">
        <v>0</v>
      </c>
      <c r="L273" s="240">
        <v>0</v>
      </c>
      <c r="M273" s="240">
        <v>9.5779262030559447E-5</v>
      </c>
      <c r="N273" s="240">
        <v>0</v>
      </c>
      <c r="O273" s="241">
        <v>1.8739439943154482E-5</v>
      </c>
      <c r="P273" s="241">
        <v>0</v>
      </c>
      <c r="Q273" s="240">
        <v>0</v>
      </c>
      <c r="R273" s="241">
        <v>0</v>
      </c>
      <c r="S273" s="241">
        <v>0</v>
      </c>
      <c r="T273" s="241">
        <v>0</v>
      </c>
      <c r="U273" s="241">
        <v>8.0746067295749938E-6</v>
      </c>
      <c r="V273" s="247"/>
    </row>
    <row r="274" spans="1:22">
      <c r="A274" s="242"/>
      <c r="B274" s="243" t="s">
        <v>822</v>
      </c>
      <c r="C274" s="244">
        <v>0</v>
      </c>
      <c r="D274" s="245">
        <v>0</v>
      </c>
      <c r="E274" s="245">
        <v>0</v>
      </c>
      <c r="F274" s="245">
        <v>0</v>
      </c>
      <c r="G274" s="245">
        <v>0</v>
      </c>
      <c r="H274" s="245">
        <v>0</v>
      </c>
      <c r="I274" s="245">
        <v>0</v>
      </c>
      <c r="J274" s="246">
        <v>0</v>
      </c>
      <c r="K274" s="246">
        <v>0</v>
      </c>
      <c r="L274" s="245">
        <v>0</v>
      </c>
      <c r="M274" s="245">
        <v>1.228166076240926E-4</v>
      </c>
      <c r="N274" s="245">
        <v>0</v>
      </c>
      <c r="O274" s="246">
        <v>2.3046567289364765E-5</v>
      </c>
      <c r="P274" s="246">
        <v>0</v>
      </c>
      <c r="Q274" s="245">
        <v>0</v>
      </c>
      <c r="R274" s="246">
        <v>0</v>
      </c>
      <c r="S274" s="246">
        <v>0</v>
      </c>
      <c r="T274" s="246">
        <v>0</v>
      </c>
      <c r="U274" s="246">
        <v>9.9548019353440511E-6</v>
      </c>
      <c r="V274" s="247"/>
    </row>
    <row r="275" spans="1:22" s="270" customFormat="1" ht="15.75" thickBot="1">
      <c r="A275" s="242"/>
      <c r="B275" s="257" t="s">
        <v>823</v>
      </c>
      <c r="C275" s="258">
        <v>0</v>
      </c>
      <c r="D275" s="259">
        <v>0</v>
      </c>
      <c r="E275" s="259">
        <v>0</v>
      </c>
      <c r="F275" s="259">
        <v>0</v>
      </c>
      <c r="G275" s="259">
        <v>0</v>
      </c>
      <c r="H275" s="259">
        <v>0</v>
      </c>
      <c r="I275" s="259">
        <v>0</v>
      </c>
      <c r="J275" s="260">
        <v>0</v>
      </c>
      <c r="K275" s="260">
        <v>0</v>
      </c>
      <c r="L275" s="259">
        <v>0</v>
      </c>
      <c r="M275" s="259">
        <v>2.7037345593533151E-3</v>
      </c>
      <c r="N275" s="259">
        <v>0</v>
      </c>
      <c r="O275" s="260">
        <v>4.3071273462102827E-4</v>
      </c>
      <c r="P275" s="260">
        <v>0</v>
      </c>
      <c r="Q275" s="259">
        <v>0</v>
      </c>
      <c r="R275" s="260">
        <v>0</v>
      </c>
      <c r="S275" s="260">
        <v>0</v>
      </c>
      <c r="T275" s="260">
        <v>0</v>
      </c>
      <c r="U275" s="260">
        <v>1.8801952057690574E-4</v>
      </c>
      <c r="V275" s="247"/>
    </row>
    <row r="276" spans="1:22" ht="15.75" thickTop="1">
      <c r="A276" s="242"/>
      <c r="B276" s="243" t="s">
        <v>824</v>
      </c>
      <c r="C276" s="244">
        <v>0.76779832060778008</v>
      </c>
      <c r="D276" s="245">
        <v>0.73138311434447822</v>
      </c>
      <c r="E276" s="245">
        <v>0.69614485475561716</v>
      </c>
      <c r="F276" s="245">
        <v>0.6193291908866172</v>
      </c>
      <c r="G276" s="245">
        <v>0.7280071813285458</v>
      </c>
      <c r="H276" s="245">
        <v>1</v>
      </c>
      <c r="I276" s="245">
        <v>0.10201963895201749</v>
      </c>
      <c r="J276" s="246">
        <v>0.48391558309296506</v>
      </c>
      <c r="K276" s="246">
        <v>0</v>
      </c>
      <c r="L276" s="245">
        <v>0</v>
      </c>
      <c r="M276" s="245">
        <v>0</v>
      </c>
      <c r="N276" s="245">
        <v>0</v>
      </c>
      <c r="O276" s="246">
        <v>0</v>
      </c>
      <c r="P276" s="246">
        <v>0</v>
      </c>
      <c r="Q276" s="245">
        <v>0</v>
      </c>
      <c r="R276" s="246">
        <v>0</v>
      </c>
      <c r="S276" s="246">
        <v>0</v>
      </c>
      <c r="T276" s="246">
        <v>0</v>
      </c>
      <c r="U276" s="246">
        <v>0.48391558309296506</v>
      </c>
      <c r="V276" s="247"/>
    </row>
    <row r="277" spans="1:22">
      <c r="A277" s="242"/>
      <c r="B277" s="243" t="s">
        <v>825</v>
      </c>
      <c r="C277" s="244">
        <v>0.77559847651930658</v>
      </c>
      <c r="D277" s="245">
        <v>0.7189556099508706</v>
      </c>
      <c r="E277" s="245">
        <v>0.6791856276606556</v>
      </c>
      <c r="F277" s="245">
        <v>0.60197248466766118</v>
      </c>
      <c r="G277" s="245">
        <v>0.76337859424920129</v>
      </c>
      <c r="H277" s="245">
        <v>1</v>
      </c>
      <c r="I277" s="245">
        <v>0.10630743607328304</v>
      </c>
      <c r="J277" s="246">
        <v>0.46799255583324489</v>
      </c>
      <c r="K277" s="246">
        <v>0</v>
      </c>
      <c r="L277" s="245">
        <v>0</v>
      </c>
      <c r="M277" s="245">
        <v>0</v>
      </c>
      <c r="N277" s="245">
        <v>0</v>
      </c>
      <c r="O277" s="246">
        <v>0</v>
      </c>
      <c r="P277" s="246">
        <v>0</v>
      </c>
      <c r="Q277" s="245">
        <v>0</v>
      </c>
      <c r="R277" s="246">
        <v>0</v>
      </c>
      <c r="S277" s="246">
        <v>0</v>
      </c>
      <c r="T277" s="246">
        <v>0</v>
      </c>
      <c r="U277" s="246">
        <v>0.46799255583324489</v>
      </c>
      <c r="V277" s="247"/>
    </row>
    <row r="278" spans="1:22" s="270" customFormat="1">
      <c r="A278" s="242"/>
      <c r="B278" s="248" t="s">
        <v>826</v>
      </c>
      <c r="C278" s="249">
        <v>0.78001559115264962</v>
      </c>
      <c r="D278" s="250">
        <v>-1.2427504393607625</v>
      </c>
      <c r="E278" s="250">
        <v>-1.695922709496156</v>
      </c>
      <c r="F278" s="250">
        <v>-1.735670621895602</v>
      </c>
      <c r="G278" s="250">
        <v>3.5371412920655487</v>
      </c>
      <c r="H278" s="250">
        <v>0</v>
      </c>
      <c r="I278" s="250">
        <v>0.42877971212655491</v>
      </c>
      <c r="J278" s="253">
        <v>-1.5923027259720168</v>
      </c>
      <c r="K278" s="253">
        <v>0</v>
      </c>
      <c r="L278" s="250">
        <v>0</v>
      </c>
      <c r="M278" s="250">
        <v>0</v>
      </c>
      <c r="N278" s="250">
        <v>0</v>
      </c>
      <c r="O278" s="253">
        <v>0</v>
      </c>
      <c r="P278" s="253">
        <v>0</v>
      </c>
      <c r="Q278" s="250">
        <v>0</v>
      </c>
      <c r="R278" s="253">
        <v>0</v>
      </c>
      <c r="S278" s="253">
        <v>0</v>
      </c>
      <c r="T278" s="253">
        <v>0</v>
      </c>
      <c r="U278" s="253">
        <v>-1.5923027259720168</v>
      </c>
      <c r="V278" s="247"/>
    </row>
    <row r="279" spans="1:22">
      <c r="A279" s="242"/>
      <c r="B279" s="219" t="s">
        <v>827</v>
      </c>
      <c r="C279" s="239">
        <v>0.15676866150028243</v>
      </c>
      <c r="D279" s="240">
        <v>5.8625554554571573E-2</v>
      </c>
      <c r="E279" s="240">
        <v>8.9138057924585484E-2</v>
      </c>
      <c r="F279" s="240">
        <v>2.1998396472238925E-2</v>
      </c>
      <c r="G279" s="240">
        <v>0.12872531418312388</v>
      </c>
      <c r="H279" s="240">
        <v>0</v>
      </c>
      <c r="I279" s="240">
        <v>3.0551863127653189E-2</v>
      </c>
      <c r="J279" s="241">
        <v>7.4810935826593164E-2</v>
      </c>
      <c r="K279" s="241">
        <v>0</v>
      </c>
      <c r="L279" s="240">
        <v>0</v>
      </c>
      <c r="M279" s="240">
        <v>0</v>
      </c>
      <c r="N279" s="240">
        <v>0</v>
      </c>
      <c r="O279" s="241">
        <v>0</v>
      </c>
      <c r="P279" s="241">
        <v>0</v>
      </c>
      <c r="Q279" s="240">
        <v>0</v>
      </c>
      <c r="R279" s="241">
        <v>0</v>
      </c>
      <c r="S279" s="241">
        <v>0</v>
      </c>
      <c r="T279" s="241">
        <v>0</v>
      </c>
      <c r="U279" s="241">
        <v>7.4810935826593164E-2</v>
      </c>
      <c r="V279" s="247"/>
    </row>
    <row r="280" spans="1:22">
      <c r="A280" s="242"/>
      <c r="B280" s="243" t="s">
        <v>828</v>
      </c>
      <c r="C280" s="244">
        <v>0.12452469985603171</v>
      </c>
      <c r="D280" s="245">
        <v>5.9180945436869609E-2</v>
      </c>
      <c r="E280" s="245">
        <v>8.782845334748586E-2</v>
      </c>
      <c r="F280" s="245">
        <v>5.4351069119840875E-2</v>
      </c>
      <c r="G280" s="245">
        <v>0.10862619808306709</v>
      </c>
      <c r="H280" s="245">
        <v>0</v>
      </c>
      <c r="I280" s="245">
        <v>2.9011462721661604E-2</v>
      </c>
      <c r="J280" s="246">
        <v>6.7289460186231803E-2</v>
      </c>
      <c r="K280" s="246">
        <v>0</v>
      </c>
      <c r="L280" s="245">
        <v>0</v>
      </c>
      <c r="M280" s="245">
        <v>0</v>
      </c>
      <c r="N280" s="245">
        <v>0</v>
      </c>
      <c r="O280" s="246">
        <v>0</v>
      </c>
      <c r="P280" s="246">
        <v>0</v>
      </c>
      <c r="Q280" s="245">
        <v>0</v>
      </c>
      <c r="R280" s="246">
        <v>0</v>
      </c>
      <c r="S280" s="246">
        <v>0</v>
      </c>
      <c r="T280" s="246">
        <v>0</v>
      </c>
      <c r="U280" s="246">
        <v>6.7289460186231803E-2</v>
      </c>
      <c r="V280" s="247"/>
    </row>
    <row r="281" spans="1:22" s="270" customFormat="1">
      <c r="A281" s="242"/>
      <c r="B281" s="248" t="s">
        <v>829</v>
      </c>
      <c r="C281" s="249">
        <v>-3.2243961644250723</v>
      </c>
      <c r="D281" s="250">
        <v>5.5539088229803607E-2</v>
      </c>
      <c r="E281" s="250">
        <v>-0.1309604577099624</v>
      </c>
      <c r="F281" s="250">
        <v>3.235267264760195</v>
      </c>
      <c r="G281" s="250">
        <v>-2.0099116100056795</v>
      </c>
      <c r="H281" s="250">
        <v>0</v>
      </c>
      <c r="I281" s="250">
        <v>-0.15404004059915849</v>
      </c>
      <c r="J281" s="253">
        <v>-0.75214756403613614</v>
      </c>
      <c r="K281" s="253">
        <v>0</v>
      </c>
      <c r="L281" s="250">
        <v>0</v>
      </c>
      <c r="M281" s="250">
        <v>0</v>
      </c>
      <c r="N281" s="250">
        <v>0</v>
      </c>
      <c r="O281" s="253">
        <v>0</v>
      </c>
      <c r="P281" s="253">
        <v>0</v>
      </c>
      <c r="Q281" s="250">
        <v>0</v>
      </c>
      <c r="R281" s="253">
        <v>0</v>
      </c>
      <c r="S281" s="253">
        <v>0</v>
      </c>
      <c r="T281" s="253">
        <v>0</v>
      </c>
      <c r="U281" s="253">
        <v>-0.75214756403613614</v>
      </c>
      <c r="V281" s="247"/>
    </row>
    <row r="282" spans="1:22">
      <c r="A282" s="242"/>
      <c r="B282" s="219" t="s">
        <v>830</v>
      </c>
      <c r="C282" s="239">
        <v>7.1681994452801212E-2</v>
      </c>
      <c r="D282" s="240">
        <v>0.20999133110095017</v>
      </c>
      <c r="E282" s="240">
        <v>0.21448980475345253</v>
      </c>
      <c r="F282" s="240">
        <v>0.30338411171243401</v>
      </c>
      <c r="G282" s="240">
        <v>0.14326750448833034</v>
      </c>
      <c r="H282" s="240">
        <v>0</v>
      </c>
      <c r="I282" s="240">
        <v>0.8666352214742078</v>
      </c>
      <c r="J282" s="241">
        <v>0.43452729028824483</v>
      </c>
      <c r="K282" s="241">
        <v>0</v>
      </c>
      <c r="L282" s="240">
        <v>0</v>
      </c>
      <c r="M282" s="240">
        <v>0</v>
      </c>
      <c r="N282" s="240">
        <v>0</v>
      </c>
      <c r="O282" s="241">
        <v>0</v>
      </c>
      <c r="P282" s="241">
        <v>0</v>
      </c>
      <c r="Q282" s="240">
        <v>0</v>
      </c>
      <c r="R282" s="241">
        <v>0</v>
      </c>
      <c r="S282" s="241">
        <v>0</v>
      </c>
      <c r="T282" s="241">
        <v>0</v>
      </c>
      <c r="U282" s="241">
        <v>0.43452729028824483</v>
      </c>
      <c r="V282" s="247"/>
    </row>
    <row r="283" spans="1:22">
      <c r="A283" s="242"/>
      <c r="B283" s="243" t="s">
        <v>831</v>
      </c>
      <c r="C283" s="244">
        <v>9.5693237270461931E-2</v>
      </c>
      <c r="D283" s="245">
        <v>0.22186344461225979</v>
      </c>
      <c r="E283" s="245">
        <v>0.23285041610677629</v>
      </c>
      <c r="F283" s="245">
        <v>0.28899386706447872</v>
      </c>
      <c r="G283" s="245">
        <v>0.12799520766773162</v>
      </c>
      <c r="H283" s="245">
        <v>0</v>
      </c>
      <c r="I283" s="245">
        <v>0.86420691682178896</v>
      </c>
      <c r="J283" s="246">
        <v>0.4581831989336303</v>
      </c>
      <c r="K283" s="246">
        <v>0</v>
      </c>
      <c r="L283" s="245">
        <v>0</v>
      </c>
      <c r="M283" s="245">
        <v>0</v>
      </c>
      <c r="N283" s="245">
        <v>0</v>
      </c>
      <c r="O283" s="246">
        <v>0</v>
      </c>
      <c r="P283" s="246">
        <v>0</v>
      </c>
      <c r="Q283" s="245">
        <v>0</v>
      </c>
      <c r="R283" s="246">
        <v>0</v>
      </c>
      <c r="S283" s="246">
        <v>0</v>
      </c>
      <c r="T283" s="246">
        <v>0</v>
      </c>
      <c r="U283" s="246">
        <v>0.4581831989336303</v>
      </c>
      <c r="V283" s="247"/>
    </row>
    <row r="284" spans="1:22" s="270" customFormat="1">
      <c r="A284" s="242"/>
      <c r="B284" s="248" t="s">
        <v>832</v>
      </c>
      <c r="C284" s="249">
        <v>2.4011242817660721</v>
      </c>
      <c r="D284" s="250">
        <v>1.1872113511309623</v>
      </c>
      <c r="E284" s="252">
        <v>1.8360611353323759</v>
      </c>
      <c r="F284" s="250">
        <v>-1.4390244647955297</v>
      </c>
      <c r="G284" s="250">
        <v>-1.5272296820598719</v>
      </c>
      <c r="H284" s="250">
        <v>0</v>
      </c>
      <c r="I284" s="250">
        <v>-0.24283046524188334</v>
      </c>
      <c r="J284" s="253">
        <v>2.3655908645385471</v>
      </c>
      <c r="K284" s="253">
        <v>0</v>
      </c>
      <c r="L284" s="250">
        <v>0</v>
      </c>
      <c r="M284" s="250">
        <v>0</v>
      </c>
      <c r="N284" s="250">
        <v>0</v>
      </c>
      <c r="O284" s="253">
        <v>0</v>
      </c>
      <c r="P284" s="253">
        <v>0</v>
      </c>
      <c r="Q284" s="250">
        <v>0</v>
      </c>
      <c r="R284" s="253">
        <v>0</v>
      </c>
      <c r="S284" s="253">
        <v>0</v>
      </c>
      <c r="T284" s="253">
        <v>0</v>
      </c>
      <c r="U284" s="253">
        <v>2.3655908645385471</v>
      </c>
      <c r="V284" s="247"/>
    </row>
    <row r="285" spans="1:22">
      <c r="A285" s="242"/>
      <c r="B285" s="219" t="s">
        <v>833</v>
      </c>
      <c r="C285" s="239">
        <v>3.7510234391363124E-3</v>
      </c>
      <c r="D285" s="240">
        <v>0</v>
      </c>
      <c r="E285" s="240">
        <v>2.272825663448634E-4</v>
      </c>
      <c r="F285" s="240">
        <v>5.528830092870983E-2</v>
      </c>
      <c r="G285" s="240">
        <v>0</v>
      </c>
      <c r="H285" s="240">
        <v>0</v>
      </c>
      <c r="I285" s="240">
        <v>7.9327644612152133E-4</v>
      </c>
      <c r="J285" s="241">
        <v>6.7461907921969556E-3</v>
      </c>
      <c r="K285" s="241">
        <v>0</v>
      </c>
      <c r="L285" s="240">
        <v>0</v>
      </c>
      <c r="M285" s="240">
        <v>0</v>
      </c>
      <c r="N285" s="240">
        <v>0</v>
      </c>
      <c r="O285" s="241">
        <v>0</v>
      </c>
      <c r="P285" s="241">
        <v>0</v>
      </c>
      <c r="Q285" s="240">
        <v>0</v>
      </c>
      <c r="R285" s="241">
        <v>0</v>
      </c>
      <c r="S285" s="241">
        <v>0</v>
      </c>
      <c r="T285" s="241">
        <v>0</v>
      </c>
      <c r="U285" s="241">
        <v>6.7461907921969556E-3</v>
      </c>
      <c r="V285" s="247"/>
    </row>
    <row r="286" spans="1:22">
      <c r="A286" s="242"/>
      <c r="B286" s="243" t="s">
        <v>834</v>
      </c>
      <c r="C286" s="244">
        <v>4.1835863541998105E-3</v>
      </c>
      <c r="D286" s="245">
        <v>0</v>
      </c>
      <c r="E286" s="245">
        <v>1.3550288508226154E-4</v>
      </c>
      <c r="F286" s="245">
        <v>5.4682579148019231E-2</v>
      </c>
      <c r="G286" s="245">
        <v>0</v>
      </c>
      <c r="H286" s="245">
        <v>0</v>
      </c>
      <c r="I286" s="245">
        <v>4.741843832663858E-4</v>
      </c>
      <c r="J286" s="246">
        <v>6.5347850468929856E-3</v>
      </c>
      <c r="K286" s="246">
        <v>0</v>
      </c>
      <c r="L286" s="245">
        <v>0</v>
      </c>
      <c r="M286" s="245">
        <v>0</v>
      </c>
      <c r="N286" s="245">
        <v>0</v>
      </c>
      <c r="O286" s="246">
        <v>0</v>
      </c>
      <c r="P286" s="246">
        <v>0</v>
      </c>
      <c r="Q286" s="245">
        <v>0</v>
      </c>
      <c r="R286" s="246">
        <v>0</v>
      </c>
      <c r="S286" s="246">
        <v>0</v>
      </c>
      <c r="T286" s="246">
        <v>0</v>
      </c>
      <c r="U286" s="246">
        <v>6.5347850468929856E-3</v>
      </c>
      <c r="V286" s="247"/>
    </row>
    <row r="287" spans="1:22" s="270" customFormat="1">
      <c r="A287" s="242"/>
      <c r="B287" s="248" t="s">
        <v>835</v>
      </c>
      <c r="C287" s="249">
        <v>4.3256291506349812E-2</v>
      </c>
      <c r="D287" s="250">
        <v>0</v>
      </c>
      <c r="E287" s="250">
        <v>-9.1779681262601862E-3</v>
      </c>
      <c r="F287" s="250">
        <v>-6.0572178069059901E-2</v>
      </c>
      <c r="G287" s="250">
        <v>0</v>
      </c>
      <c r="H287" s="250">
        <v>0</v>
      </c>
      <c r="I287" s="250">
        <v>-3.1909206285513553E-2</v>
      </c>
      <c r="J287" s="253">
        <v>-2.1140574530397003E-2</v>
      </c>
      <c r="K287" s="253">
        <v>0</v>
      </c>
      <c r="L287" s="250">
        <v>0</v>
      </c>
      <c r="M287" s="250">
        <v>0</v>
      </c>
      <c r="N287" s="250">
        <v>0</v>
      </c>
      <c r="O287" s="253">
        <v>0</v>
      </c>
      <c r="P287" s="253">
        <v>0</v>
      </c>
      <c r="Q287" s="250">
        <v>0</v>
      </c>
      <c r="R287" s="253">
        <v>0</v>
      </c>
      <c r="S287" s="253">
        <v>0</v>
      </c>
      <c r="T287" s="253">
        <v>0</v>
      </c>
      <c r="U287" s="253">
        <v>-2.1140574530397003E-2</v>
      </c>
      <c r="V287" s="247"/>
    </row>
    <row r="288" spans="1:22">
      <c r="A288" s="242"/>
      <c r="B288" s="219" t="s">
        <v>836</v>
      </c>
      <c r="C288" s="239">
        <v>0</v>
      </c>
      <c r="D288" s="240">
        <v>0</v>
      </c>
      <c r="E288" s="240">
        <v>0</v>
      </c>
      <c r="F288" s="240">
        <v>0</v>
      </c>
      <c r="G288" s="240">
        <v>0</v>
      </c>
      <c r="H288" s="240">
        <v>0</v>
      </c>
      <c r="I288" s="240">
        <v>0</v>
      </c>
      <c r="J288" s="241">
        <v>0</v>
      </c>
      <c r="K288" s="241">
        <v>0</v>
      </c>
      <c r="L288" s="240">
        <v>0</v>
      </c>
      <c r="M288" s="240">
        <v>0</v>
      </c>
      <c r="N288" s="240">
        <v>0</v>
      </c>
      <c r="O288" s="241">
        <v>0</v>
      </c>
      <c r="P288" s="241">
        <v>0</v>
      </c>
      <c r="Q288" s="240">
        <v>0</v>
      </c>
      <c r="R288" s="241">
        <v>0</v>
      </c>
      <c r="S288" s="241">
        <v>0</v>
      </c>
      <c r="T288" s="241">
        <v>0</v>
      </c>
      <c r="U288" s="241">
        <v>0</v>
      </c>
      <c r="V288" s="247"/>
    </row>
    <row r="289" spans="1:22">
      <c r="A289" s="242"/>
      <c r="B289" s="243" t="s">
        <v>837</v>
      </c>
      <c r="C289" s="244">
        <v>0</v>
      </c>
      <c r="D289" s="245">
        <v>0</v>
      </c>
      <c r="E289" s="245">
        <v>0</v>
      </c>
      <c r="F289" s="245">
        <v>0</v>
      </c>
      <c r="G289" s="245">
        <v>0</v>
      </c>
      <c r="H289" s="245">
        <v>0</v>
      </c>
      <c r="I289" s="245">
        <v>0</v>
      </c>
      <c r="J289" s="246">
        <v>0</v>
      </c>
      <c r="K289" s="246">
        <v>0</v>
      </c>
      <c r="L289" s="245">
        <v>0</v>
      </c>
      <c r="M289" s="245">
        <v>0</v>
      </c>
      <c r="N289" s="245">
        <v>0</v>
      </c>
      <c r="O289" s="246">
        <v>0</v>
      </c>
      <c r="P289" s="246">
        <v>0</v>
      </c>
      <c r="Q289" s="245">
        <v>0</v>
      </c>
      <c r="R289" s="246">
        <v>0</v>
      </c>
      <c r="S289" s="246">
        <v>0</v>
      </c>
      <c r="T289" s="246">
        <v>0</v>
      </c>
      <c r="U289" s="246">
        <v>0</v>
      </c>
      <c r="V289" s="247"/>
    </row>
    <row r="290" spans="1:22" s="270" customFormat="1">
      <c r="A290" s="242"/>
      <c r="B290" s="248" t="s">
        <v>838</v>
      </c>
      <c r="C290" s="249">
        <v>0</v>
      </c>
      <c r="D290" s="250">
        <v>0</v>
      </c>
      <c r="E290" s="250">
        <v>0</v>
      </c>
      <c r="F290" s="250">
        <v>0</v>
      </c>
      <c r="G290" s="250">
        <v>0</v>
      </c>
      <c r="H290" s="250">
        <v>0</v>
      </c>
      <c r="I290" s="250">
        <v>0</v>
      </c>
      <c r="J290" s="253">
        <v>0</v>
      </c>
      <c r="K290" s="253">
        <v>0</v>
      </c>
      <c r="L290" s="250">
        <v>0</v>
      </c>
      <c r="M290" s="250">
        <v>0</v>
      </c>
      <c r="N290" s="250">
        <v>0</v>
      </c>
      <c r="O290" s="253">
        <v>0</v>
      </c>
      <c r="P290" s="253">
        <v>0</v>
      </c>
      <c r="Q290" s="250">
        <v>0</v>
      </c>
      <c r="R290" s="253">
        <v>0</v>
      </c>
      <c r="S290" s="253">
        <v>0</v>
      </c>
      <c r="T290" s="253">
        <v>0</v>
      </c>
      <c r="U290" s="253">
        <v>0</v>
      </c>
      <c r="V290" s="247"/>
    </row>
    <row r="291" spans="1:22">
      <c r="A291" s="242"/>
      <c r="B291" s="219" t="s">
        <v>839</v>
      </c>
      <c r="C291" s="239">
        <v>0</v>
      </c>
      <c r="D291" s="240">
        <v>0</v>
      </c>
      <c r="E291" s="240">
        <v>0</v>
      </c>
      <c r="F291" s="240">
        <v>0</v>
      </c>
      <c r="G291" s="240">
        <v>0</v>
      </c>
      <c r="H291" s="240">
        <v>0</v>
      </c>
      <c r="I291" s="240">
        <v>0</v>
      </c>
      <c r="J291" s="241">
        <v>0</v>
      </c>
      <c r="K291" s="241">
        <v>0</v>
      </c>
      <c r="L291" s="240">
        <v>0</v>
      </c>
      <c r="M291" s="240">
        <v>0</v>
      </c>
      <c r="N291" s="240">
        <v>0</v>
      </c>
      <c r="O291" s="241">
        <v>0</v>
      </c>
      <c r="P291" s="241">
        <v>0</v>
      </c>
      <c r="Q291" s="240">
        <v>0</v>
      </c>
      <c r="R291" s="241">
        <v>0</v>
      </c>
      <c r="S291" s="241">
        <v>0</v>
      </c>
      <c r="T291" s="241">
        <v>0</v>
      </c>
      <c r="U291" s="241">
        <v>0</v>
      </c>
      <c r="V291" s="247"/>
    </row>
    <row r="292" spans="1:22">
      <c r="A292" s="242"/>
      <c r="B292" s="243" t="s">
        <v>840</v>
      </c>
      <c r="C292" s="244">
        <v>0</v>
      </c>
      <c r="D292" s="245">
        <v>0</v>
      </c>
      <c r="E292" s="245">
        <v>0</v>
      </c>
      <c r="F292" s="245">
        <v>0</v>
      </c>
      <c r="G292" s="245">
        <v>0</v>
      </c>
      <c r="H292" s="245">
        <v>0</v>
      </c>
      <c r="I292" s="245">
        <v>0</v>
      </c>
      <c r="J292" s="246">
        <v>0</v>
      </c>
      <c r="K292" s="246">
        <v>0</v>
      </c>
      <c r="L292" s="245">
        <v>0</v>
      </c>
      <c r="M292" s="245">
        <v>0</v>
      </c>
      <c r="N292" s="245">
        <v>0</v>
      </c>
      <c r="O292" s="246">
        <v>0</v>
      </c>
      <c r="P292" s="246">
        <v>0</v>
      </c>
      <c r="Q292" s="245">
        <v>0</v>
      </c>
      <c r="R292" s="246">
        <v>0</v>
      </c>
      <c r="S292" s="246">
        <v>0</v>
      </c>
      <c r="T292" s="246">
        <v>0</v>
      </c>
      <c r="U292" s="246">
        <v>0</v>
      </c>
      <c r="V292" s="247"/>
    </row>
    <row r="293" spans="1:22" s="270" customFormat="1" ht="15.75" thickBot="1">
      <c r="A293" s="261"/>
      <c r="B293" s="262" t="s">
        <v>841</v>
      </c>
      <c r="C293" s="263">
        <v>0</v>
      </c>
      <c r="D293" s="264">
        <v>0</v>
      </c>
      <c r="E293" s="264">
        <v>0</v>
      </c>
      <c r="F293" s="264">
        <v>0</v>
      </c>
      <c r="G293" s="264">
        <v>0</v>
      </c>
      <c r="H293" s="264">
        <v>0</v>
      </c>
      <c r="I293" s="264">
        <v>0</v>
      </c>
      <c r="J293" s="265">
        <v>0</v>
      </c>
      <c r="K293" s="265">
        <v>0</v>
      </c>
      <c r="L293" s="264">
        <v>0</v>
      </c>
      <c r="M293" s="264">
        <v>0</v>
      </c>
      <c r="N293" s="264">
        <v>0</v>
      </c>
      <c r="O293" s="265">
        <v>0</v>
      </c>
      <c r="P293" s="265">
        <v>0</v>
      </c>
      <c r="Q293" s="264">
        <v>0</v>
      </c>
      <c r="R293" s="265">
        <v>0</v>
      </c>
      <c r="S293" s="265">
        <v>0</v>
      </c>
      <c r="T293" s="265">
        <v>0</v>
      </c>
      <c r="U293" s="265">
        <v>0</v>
      </c>
      <c r="V293" s="247"/>
    </row>
    <row r="294" spans="1:22">
      <c r="A294" s="238" t="s">
        <v>358</v>
      </c>
      <c r="B294" s="219" t="s">
        <v>806</v>
      </c>
      <c r="C294" s="239">
        <v>0.82109486469677195</v>
      </c>
      <c r="D294" s="240">
        <v>0.81548423199465647</v>
      </c>
      <c r="E294" s="240">
        <v>0</v>
      </c>
      <c r="F294" s="240">
        <v>0.77560536649214662</v>
      </c>
      <c r="G294" s="240">
        <v>0.49941062557884985</v>
      </c>
      <c r="H294" s="240">
        <v>0</v>
      </c>
      <c r="I294" s="240">
        <v>0</v>
      </c>
      <c r="J294" s="241">
        <v>0.80114736872621617</v>
      </c>
      <c r="K294" s="241">
        <v>0</v>
      </c>
      <c r="L294" s="240">
        <v>0.69783301171313794</v>
      </c>
      <c r="M294" s="240">
        <v>0.73464132162204288</v>
      </c>
      <c r="N294" s="240">
        <v>0.83087514181874123</v>
      </c>
      <c r="O294" s="241">
        <v>0.7198624047223412</v>
      </c>
      <c r="P294" s="241">
        <v>0</v>
      </c>
      <c r="Q294" s="240">
        <v>0</v>
      </c>
      <c r="R294" s="241">
        <v>0</v>
      </c>
      <c r="S294" s="241">
        <v>0</v>
      </c>
      <c r="T294" s="241">
        <v>0</v>
      </c>
      <c r="U294" s="241">
        <v>0.75962362125276484</v>
      </c>
      <c r="V294" s="247"/>
    </row>
    <row r="295" spans="1:22">
      <c r="A295" s="242"/>
      <c r="B295" s="243" t="s">
        <v>807</v>
      </c>
      <c r="C295" s="244">
        <v>0.80811535514939259</v>
      </c>
      <c r="D295" s="245">
        <v>0.79677960286545346</v>
      </c>
      <c r="E295" s="245">
        <v>0</v>
      </c>
      <c r="F295" s="245">
        <v>0.73202194641835006</v>
      </c>
      <c r="G295" s="245">
        <v>0.48394412443999218</v>
      </c>
      <c r="H295" s="245">
        <v>0</v>
      </c>
      <c r="I295" s="245">
        <v>0</v>
      </c>
      <c r="J295" s="246">
        <v>0.78227890998610983</v>
      </c>
      <c r="K295" s="246">
        <v>0</v>
      </c>
      <c r="L295" s="245">
        <v>0.69342665867071163</v>
      </c>
      <c r="M295" s="245">
        <v>0.72541588311876171</v>
      </c>
      <c r="N295" s="245">
        <v>0.80521473845774871</v>
      </c>
      <c r="O295" s="246">
        <v>0.7125756628834562</v>
      </c>
      <c r="P295" s="246">
        <v>0</v>
      </c>
      <c r="Q295" s="245">
        <v>0</v>
      </c>
      <c r="R295" s="246">
        <v>0</v>
      </c>
      <c r="S295" s="246">
        <v>0</v>
      </c>
      <c r="T295" s="246">
        <v>0</v>
      </c>
      <c r="U295" s="246">
        <v>0.74711620766567177</v>
      </c>
      <c r="V295" s="247"/>
    </row>
    <row r="296" spans="1:22" s="270" customFormat="1">
      <c r="A296" s="242"/>
      <c r="B296" s="248" t="s">
        <v>808</v>
      </c>
      <c r="C296" s="249">
        <v>-1.2979509547379364</v>
      </c>
      <c r="D296" s="250">
        <v>-1.870462912920301</v>
      </c>
      <c r="E296" s="250">
        <v>0</v>
      </c>
      <c r="F296" s="250">
        <v>-4.3583420073796564</v>
      </c>
      <c r="G296" s="250">
        <v>-1.5466501138857669</v>
      </c>
      <c r="H296" s="250">
        <v>0</v>
      </c>
      <c r="I296" s="250">
        <v>0</v>
      </c>
      <c r="J296" s="253">
        <v>-1.8868458740106342</v>
      </c>
      <c r="K296" s="253">
        <v>0</v>
      </c>
      <c r="L296" s="250">
        <v>-0.44063530424263142</v>
      </c>
      <c r="M296" s="250">
        <v>-0.92254385032811692</v>
      </c>
      <c r="N296" s="250">
        <v>-2.5660403360992512</v>
      </c>
      <c r="O296" s="253">
        <v>-0.72867418388850025</v>
      </c>
      <c r="P296" s="253">
        <v>0</v>
      </c>
      <c r="Q296" s="250">
        <v>0</v>
      </c>
      <c r="R296" s="253">
        <v>0</v>
      </c>
      <c r="S296" s="253">
        <v>0</v>
      </c>
      <c r="T296" s="253">
        <v>0</v>
      </c>
      <c r="U296" s="253">
        <v>-1.2507413587093064</v>
      </c>
      <c r="V296" s="247"/>
    </row>
    <row r="297" spans="1:22">
      <c r="A297" s="242"/>
      <c r="B297" s="219" t="s">
        <v>809</v>
      </c>
      <c r="C297" s="239">
        <v>5.3455445665296766E-2</v>
      </c>
      <c r="D297" s="240">
        <v>6.2783996225499003E-2</v>
      </c>
      <c r="E297" s="240">
        <v>0</v>
      </c>
      <c r="F297" s="240">
        <v>3.0754350169387126E-2</v>
      </c>
      <c r="G297" s="240">
        <v>2.1329740955909181E-3</v>
      </c>
      <c r="H297" s="240">
        <v>0</v>
      </c>
      <c r="I297" s="240">
        <v>0</v>
      </c>
      <c r="J297" s="241">
        <v>5.2594844170414011E-2</v>
      </c>
      <c r="K297" s="241">
        <v>0</v>
      </c>
      <c r="L297" s="240">
        <v>3.021015087261144E-2</v>
      </c>
      <c r="M297" s="240">
        <v>2.9339091159862506E-2</v>
      </c>
      <c r="N297" s="240">
        <v>1.1566640386131569E-2</v>
      </c>
      <c r="O297" s="241">
        <v>2.8844726059953724E-2</v>
      </c>
      <c r="P297" s="241">
        <v>0</v>
      </c>
      <c r="Q297" s="240">
        <v>0</v>
      </c>
      <c r="R297" s="241">
        <v>0</v>
      </c>
      <c r="S297" s="241">
        <v>0</v>
      </c>
      <c r="T297" s="241">
        <v>0</v>
      </c>
      <c r="U297" s="241">
        <v>4.0462293963017926E-2</v>
      </c>
      <c r="V297" s="247"/>
    </row>
    <row r="298" spans="1:22">
      <c r="A298" s="242"/>
      <c r="B298" s="243" t="s">
        <v>810</v>
      </c>
      <c r="C298" s="244">
        <v>4.8135626287764514E-2</v>
      </c>
      <c r="D298" s="245">
        <v>5.4376926458045413E-2</v>
      </c>
      <c r="E298" s="245">
        <v>0</v>
      </c>
      <c r="F298" s="245">
        <v>3.2538031616617107E-2</v>
      </c>
      <c r="G298" s="245">
        <v>1.4887163647494227E-3</v>
      </c>
      <c r="H298" s="245">
        <v>0</v>
      </c>
      <c r="I298" s="245">
        <v>0</v>
      </c>
      <c r="J298" s="246">
        <v>4.6962032557090388E-2</v>
      </c>
      <c r="K298" s="246">
        <v>0</v>
      </c>
      <c r="L298" s="245">
        <v>3.2246432197045413E-2</v>
      </c>
      <c r="M298" s="245">
        <v>2.826690162145102E-2</v>
      </c>
      <c r="N298" s="245">
        <v>8.4133135001468531E-3</v>
      </c>
      <c r="O298" s="246">
        <v>2.9308881612600736E-2</v>
      </c>
      <c r="P298" s="246">
        <v>0</v>
      </c>
      <c r="Q298" s="245">
        <v>0</v>
      </c>
      <c r="R298" s="246">
        <v>0</v>
      </c>
      <c r="S298" s="246">
        <v>0</v>
      </c>
      <c r="T298" s="246">
        <v>0</v>
      </c>
      <c r="U298" s="246">
        <v>3.8056672800109742E-2</v>
      </c>
      <c r="V298" s="247"/>
    </row>
    <row r="299" spans="1:22" s="270" customFormat="1">
      <c r="A299" s="242"/>
      <c r="B299" s="248" t="s">
        <v>811</v>
      </c>
      <c r="C299" s="249">
        <v>-0.53198193775322522</v>
      </c>
      <c r="D299" s="250">
        <v>-0.84070697674535899</v>
      </c>
      <c r="E299" s="250">
        <v>0</v>
      </c>
      <c r="F299" s="250">
        <v>0.17836814472299811</v>
      </c>
      <c r="G299" s="250">
        <v>-6.442577308414954E-2</v>
      </c>
      <c r="H299" s="250">
        <v>0</v>
      </c>
      <c r="I299" s="250">
        <v>0</v>
      </c>
      <c r="J299" s="253">
        <v>-0.56328116133236228</v>
      </c>
      <c r="K299" s="253">
        <v>0</v>
      </c>
      <c r="L299" s="250">
        <v>0.20362813244339736</v>
      </c>
      <c r="M299" s="250">
        <v>-0.10721895384114867</v>
      </c>
      <c r="N299" s="250">
        <v>-0.31533268859847158</v>
      </c>
      <c r="O299" s="253">
        <v>4.641555526470123E-2</v>
      </c>
      <c r="P299" s="253">
        <v>0</v>
      </c>
      <c r="Q299" s="250">
        <v>0</v>
      </c>
      <c r="R299" s="253">
        <v>0</v>
      </c>
      <c r="S299" s="253">
        <v>0</v>
      </c>
      <c r="T299" s="253">
        <v>0</v>
      </c>
      <c r="U299" s="253">
        <v>-0.24056211629081836</v>
      </c>
      <c r="V299" s="247"/>
    </row>
    <row r="300" spans="1:22">
      <c r="A300" s="242"/>
      <c r="B300" s="219" t="s">
        <v>812</v>
      </c>
      <c r="C300" s="239">
        <v>0.11834733722759479</v>
      </c>
      <c r="D300" s="240">
        <v>0.10400588119922699</v>
      </c>
      <c r="E300" s="240">
        <v>0</v>
      </c>
      <c r="F300" s="240">
        <v>0.18899176162611642</v>
      </c>
      <c r="G300" s="240">
        <v>0.49845640032555921</v>
      </c>
      <c r="H300" s="240">
        <v>0</v>
      </c>
      <c r="I300" s="240">
        <v>0</v>
      </c>
      <c r="J300" s="241">
        <v>0.13547440272664169</v>
      </c>
      <c r="K300" s="241">
        <v>0</v>
      </c>
      <c r="L300" s="240">
        <v>0.27195683741425064</v>
      </c>
      <c r="M300" s="240">
        <v>0.23601958721809463</v>
      </c>
      <c r="N300" s="240">
        <v>0.15755821779512721</v>
      </c>
      <c r="O300" s="241">
        <v>0.25129286921770511</v>
      </c>
      <c r="P300" s="241">
        <v>0</v>
      </c>
      <c r="Q300" s="240">
        <v>0</v>
      </c>
      <c r="R300" s="241">
        <v>0</v>
      </c>
      <c r="S300" s="241">
        <v>0</v>
      </c>
      <c r="T300" s="241">
        <v>0</v>
      </c>
      <c r="U300" s="241">
        <v>0.19463930258571085</v>
      </c>
      <c r="V300" s="247"/>
    </row>
    <row r="301" spans="1:22">
      <c r="A301" s="242"/>
      <c r="B301" s="243" t="s">
        <v>813</v>
      </c>
      <c r="C301" s="244">
        <v>0.13683851135612013</v>
      </c>
      <c r="D301" s="245">
        <v>0.1298286322130654</v>
      </c>
      <c r="E301" s="245">
        <v>0</v>
      </c>
      <c r="F301" s="245">
        <v>0.23179624639927032</v>
      </c>
      <c r="G301" s="245">
        <v>0.51456715919525842</v>
      </c>
      <c r="H301" s="245">
        <v>0</v>
      </c>
      <c r="I301" s="245">
        <v>0</v>
      </c>
      <c r="J301" s="246">
        <v>0.15975487746571446</v>
      </c>
      <c r="K301" s="246">
        <v>0</v>
      </c>
      <c r="L301" s="245">
        <v>0.27432690913224289</v>
      </c>
      <c r="M301" s="245">
        <v>0.24631721525978723</v>
      </c>
      <c r="N301" s="245">
        <v>0.18637194804210447</v>
      </c>
      <c r="O301" s="246">
        <v>0.25811545550394305</v>
      </c>
      <c r="P301" s="246">
        <v>0</v>
      </c>
      <c r="Q301" s="245">
        <v>0</v>
      </c>
      <c r="R301" s="246">
        <v>0</v>
      </c>
      <c r="S301" s="246">
        <v>0</v>
      </c>
      <c r="T301" s="246">
        <v>0</v>
      </c>
      <c r="U301" s="246">
        <v>0.20937414011686253</v>
      </c>
      <c r="V301" s="247"/>
    </row>
    <row r="302" spans="1:22" s="270" customFormat="1">
      <c r="A302" s="242"/>
      <c r="B302" s="248" t="s">
        <v>814</v>
      </c>
      <c r="C302" s="249">
        <v>1.8491174128525343</v>
      </c>
      <c r="D302" s="250">
        <v>2.582275101383841</v>
      </c>
      <c r="E302" s="250">
        <v>0</v>
      </c>
      <c r="F302" s="250">
        <v>4.2804484773153906</v>
      </c>
      <c r="G302" s="250">
        <v>1.6110758869699204</v>
      </c>
      <c r="H302" s="250">
        <v>0</v>
      </c>
      <c r="I302" s="250">
        <v>0</v>
      </c>
      <c r="J302" s="253">
        <v>2.4280474739072773</v>
      </c>
      <c r="K302" s="253">
        <v>0</v>
      </c>
      <c r="L302" s="250">
        <v>0.23700717179922504</v>
      </c>
      <c r="M302" s="250">
        <v>1.0297628041692597</v>
      </c>
      <c r="N302" s="250">
        <v>2.8813730246977256</v>
      </c>
      <c r="O302" s="253">
        <v>0.68225862862379416</v>
      </c>
      <c r="P302" s="253">
        <v>0</v>
      </c>
      <c r="Q302" s="250">
        <v>0</v>
      </c>
      <c r="R302" s="253">
        <v>0</v>
      </c>
      <c r="S302" s="253">
        <v>0</v>
      </c>
      <c r="T302" s="253">
        <v>0</v>
      </c>
      <c r="U302" s="253">
        <v>1.4734837531151679</v>
      </c>
      <c r="V302" s="247"/>
    </row>
    <row r="303" spans="1:22">
      <c r="A303" s="242"/>
      <c r="B303" s="219" t="s">
        <v>815</v>
      </c>
      <c r="C303" s="239">
        <v>7.1023524103364594E-3</v>
      </c>
      <c r="D303" s="240">
        <v>1.6096491167914548E-2</v>
      </c>
      <c r="E303" s="240">
        <v>0</v>
      </c>
      <c r="F303" s="240">
        <v>0</v>
      </c>
      <c r="G303" s="240">
        <v>0</v>
      </c>
      <c r="H303" s="240">
        <v>0</v>
      </c>
      <c r="I303" s="240">
        <v>0</v>
      </c>
      <c r="J303" s="241">
        <v>9.6051653472327449E-3</v>
      </c>
      <c r="K303" s="241">
        <v>0</v>
      </c>
      <c r="L303" s="240">
        <v>0</v>
      </c>
      <c r="M303" s="240">
        <v>0</v>
      </c>
      <c r="N303" s="240">
        <v>0</v>
      </c>
      <c r="O303" s="241">
        <v>0</v>
      </c>
      <c r="P303" s="241">
        <v>0</v>
      </c>
      <c r="Q303" s="240">
        <v>0</v>
      </c>
      <c r="R303" s="241">
        <v>0</v>
      </c>
      <c r="S303" s="241">
        <v>0</v>
      </c>
      <c r="T303" s="241">
        <v>0</v>
      </c>
      <c r="U303" s="241">
        <v>4.698446556040012E-3</v>
      </c>
      <c r="V303" s="247"/>
    </row>
    <row r="304" spans="1:22">
      <c r="A304" s="242"/>
      <c r="B304" s="243" t="s">
        <v>816</v>
      </c>
      <c r="C304" s="244">
        <v>6.9081279651298354E-3</v>
      </c>
      <c r="D304" s="245">
        <v>1.542268745806057E-2</v>
      </c>
      <c r="E304" s="245">
        <v>0</v>
      </c>
      <c r="F304" s="245">
        <v>0</v>
      </c>
      <c r="G304" s="245">
        <v>0</v>
      </c>
      <c r="H304" s="245">
        <v>0</v>
      </c>
      <c r="I304" s="245">
        <v>0</v>
      </c>
      <c r="J304" s="246">
        <v>9.1737475406262117E-3</v>
      </c>
      <c r="K304" s="246">
        <v>0</v>
      </c>
      <c r="L304" s="245">
        <v>0</v>
      </c>
      <c r="M304" s="245">
        <v>0</v>
      </c>
      <c r="N304" s="245">
        <v>0</v>
      </c>
      <c r="O304" s="246">
        <v>0</v>
      </c>
      <c r="P304" s="246">
        <v>0</v>
      </c>
      <c r="Q304" s="245">
        <v>0</v>
      </c>
      <c r="R304" s="246">
        <v>0</v>
      </c>
      <c r="S304" s="246">
        <v>0</v>
      </c>
      <c r="T304" s="246">
        <v>0</v>
      </c>
      <c r="U304" s="246">
        <v>4.5459322329859794E-3</v>
      </c>
      <c r="V304" s="247"/>
    </row>
    <row r="305" spans="1:22" s="270" customFormat="1">
      <c r="A305" s="242"/>
      <c r="B305" s="248" t="s">
        <v>817</v>
      </c>
      <c r="C305" s="249">
        <v>-1.9422444520662396E-2</v>
      </c>
      <c r="D305" s="250">
        <v>-6.7380370985397828E-2</v>
      </c>
      <c r="E305" s="250">
        <v>0</v>
      </c>
      <c r="F305" s="250">
        <v>0</v>
      </c>
      <c r="G305" s="250">
        <v>0</v>
      </c>
      <c r="H305" s="250">
        <v>0</v>
      </c>
      <c r="I305" s="250">
        <v>0</v>
      </c>
      <c r="J305" s="253">
        <v>-4.3141780660653321E-2</v>
      </c>
      <c r="K305" s="253">
        <v>0</v>
      </c>
      <c r="L305" s="250">
        <v>0</v>
      </c>
      <c r="M305" s="250">
        <v>0</v>
      </c>
      <c r="N305" s="250">
        <v>0</v>
      </c>
      <c r="O305" s="253">
        <v>0</v>
      </c>
      <c r="P305" s="253">
        <v>0</v>
      </c>
      <c r="Q305" s="250">
        <v>0</v>
      </c>
      <c r="R305" s="253">
        <v>0</v>
      </c>
      <c r="S305" s="253">
        <v>0</v>
      </c>
      <c r="T305" s="253">
        <v>0</v>
      </c>
      <c r="U305" s="253">
        <v>-1.5251432305403261E-2</v>
      </c>
      <c r="V305" s="247"/>
    </row>
    <row r="306" spans="1:22">
      <c r="A306" s="242"/>
      <c r="B306" s="219" t="s">
        <v>818</v>
      </c>
      <c r="C306" s="239">
        <v>0</v>
      </c>
      <c r="D306" s="240">
        <v>0</v>
      </c>
      <c r="E306" s="240">
        <v>0</v>
      </c>
      <c r="F306" s="240">
        <v>5.0527409916846316E-4</v>
      </c>
      <c r="G306" s="240">
        <v>0</v>
      </c>
      <c r="H306" s="240">
        <v>0</v>
      </c>
      <c r="I306" s="240">
        <v>0</v>
      </c>
      <c r="J306" s="241">
        <v>5.7434075253954333E-5</v>
      </c>
      <c r="K306" s="241">
        <v>0</v>
      </c>
      <c r="L306" s="240">
        <v>0</v>
      </c>
      <c r="M306" s="240">
        <v>0</v>
      </c>
      <c r="N306" s="240">
        <v>0</v>
      </c>
      <c r="O306" s="241">
        <v>0</v>
      </c>
      <c r="P306" s="241">
        <v>0</v>
      </c>
      <c r="Q306" s="240">
        <v>0</v>
      </c>
      <c r="R306" s="241">
        <v>0</v>
      </c>
      <c r="S306" s="241">
        <v>0</v>
      </c>
      <c r="T306" s="241">
        <v>0</v>
      </c>
      <c r="U306" s="241">
        <v>2.8094355830535382E-5</v>
      </c>
      <c r="V306" s="247"/>
    </row>
    <row r="307" spans="1:22">
      <c r="A307" s="242"/>
      <c r="B307" s="243" t="s">
        <v>819</v>
      </c>
      <c r="C307" s="244">
        <v>0</v>
      </c>
      <c r="D307" s="245">
        <v>0</v>
      </c>
      <c r="E307" s="245">
        <v>0</v>
      </c>
      <c r="F307" s="245">
        <v>0</v>
      </c>
      <c r="G307" s="245">
        <v>0</v>
      </c>
      <c r="H307" s="245">
        <v>0</v>
      </c>
      <c r="I307" s="245">
        <v>0</v>
      </c>
      <c r="J307" s="246">
        <v>0</v>
      </c>
      <c r="K307" s="246">
        <v>0</v>
      </c>
      <c r="L307" s="245">
        <v>0</v>
      </c>
      <c r="M307" s="245">
        <v>0</v>
      </c>
      <c r="N307" s="245">
        <v>0</v>
      </c>
      <c r="O307" s="246">
        <v>0</v>
      </c>
      <c r="P307" s="246">
        <v>0</v>
      </c>
      <c r="Q307" s="245">
        <v>0</v>
      </c>
      <c r="R307" s="246">
        <v>0</v>
      </c>
      <c r="S307" s="246">
        <v>0</v>
      </c>
      <c r="T307" s="246">
        <v>0</v>
      </c>
      <c r="U307" s="246">
        <v>0</v>
      </c>
      <c r="V307" s="247"/>
    </row>
    <row r="308" spans="1:22" s="270" customFormat="1">
      <c r="A308" s="242"/>
      <c r="B308" s="248" t="s">
        <v>820</v>
      </c>
      <c r="C308" s="249">
        <v>0</v>
      </c>
      <c r="D308" s="250">
        <v>0</v>
      </c>
      <c r="E308" s="250">
        <v>0</v>
      </c>
      <c r="F308" s="250">
        <v>-5.0527409916846316E-2</v>
      </c>
      <c r="G308" s="250">
        <v>0</v>
      </c>
      <c r="H308" s="250">
        <v>0</v>
      </c>
      <c r="I308" s="250">
        <v>0</v>
      </c>
      <c r="J308" s="253">
        <v>-5.7434075253954336E-3</v>
      </c>
      <c r="K308" s="253">
        <v>0</v>
      </c>
      <c r="L308" s="250">
        <v>0</v>
      </c>
      <c r="M308" s="250">
        <v>0</v>
      </c>
      <c r="N308" s="250">
        <v>0</v>
      </c>
      <c r="O308" s="253">
        <v>0</v>
      </c>
      <c r="P308" s="253">
        <v>0</v>
      </c>
      <c r="Q308" s="250">
        <v>0</v>
      </c>
      <c r="R308" s="253">
        <v>0</v>
      </c>
      <c r="S308" s="253">
        <v>0</v>
      </c>
      <c r="T308" s="253">
        <v>0</v>
      </c>
      <c r="U308" s="253">
        <v>-2.8094355830535381E-3</v>
      </c>
      <c r="V308" s="247"/>
    </row>
    <row r="309" spans="1:22">
      <c r="A309" s="242"/>
      <c r="B309" s="219" t="s">
        <v>821</v>
      </c>
      <c r="C309" s="239">
        <v>0</v>
      </c>
      <c r="D309" s="240">
        <v>1.6293994127030062E-3</v>
      </c>
      <c r="E309" s="240">
        <v>0</v>
      </c>
      <c r="F309" s="240">
        <v>4.1432476131813981E-3</v>
      </c>
      <c r="G309" s="240">
        <v>0</v>
      </c>
      <c r="H309" s="240">
        <v>0</v>
      </c>
      <c r="I309" s="240">
        <v>0</v>
      </c>
      <c r="J309" s="241">
        <v>1.1207849542414518E-3</v>
      </c>
      <c r="K309" s="241">
        <v>0</v>
      </c>
      <c r="L309" s="240">
        <v>0</v>
      </c>
      <c r="M309" s="240">
        <v>0</v>
      </c>
      <c r="N309" s="240">
        <v>0</v>
      </c>
      <c r="O309" s="241">
        <v>0</v>
      </c>
      <c r="P309" s="241">
        <v>0</v>
      </c>
      <c r="Q309" s="240">
        <v>0</v>
      </c>
      <c r="R309" s="241">
        <v>0</v>
      </c>
      <c r="S309" s="241">
        <v>0</v>
      </c>
      <c r="T309" s="241">
        <v>0</v>
      </c>
      <c r="U309" s="241">
        <v>5.4824128663587615E-4</v>
      </c>
      <c r="V309" s="247"/>
    </row>
    <row r="310" spans="1:22">
      <c r="A310" s="242"/>
      <c r="B310" s="243" t="s">
        <v>822</v>
      </c>
      <c r="C310" s="244">
        <v>2.3792415929498311E-6</v>
      </c>
      <c r="D310" s="245">
        <v>3.5921510053751366E-3</v>
      </c>
      <c r="E310" s="245">
        <v>0</v>
      </c>
      <c r="F310" s="245">
        <v>3.6437755657624704E-3</v>
      </c>
      <c r="G310" s="245">
        <v>0</v>
      </c>
      <c r="H310" s="245">
        <v>0</v>
      </c>
      <c r="I310" s="245">
        <v>0</v>
      </c>
      <c r="J310" s="246">
        <v>1.8304324504590651E-3</v>
      </c>
      <c r="K310" s="246">
        <v>0</v>
      </c>
      <c r="L310" s="245">
        <v>0</v>
      </c>
      <c r="M310" s="245">
        <v>0</v>
      </c>
      <c r="N310" s="245">
        <v>0</v>
      </c>
      <c r="O310" s="246">
        <v>0</v>
      </c>
      <c r="P310" s="246">
        <v>0</v>
      </c>
      <c r="Q310" s="245">
        <v>0</v>
      </c>
      <c r="R310" s="246">
        <v>0</v>
      </c>
      <c r="S310" s="246">
        <v>0</v>
      </c>
      <c r="T310" s="246">
        <v>0</v>
      </c>
      <c r="U310" s="246">
        <v>9.0704718436990836E-4</v>
      </c>
      <c r="V310" s="247"/>
    </row>
    <row r="311" spans="1:22" s="270" customFormat="1" ht="15.75" thickBot="1">
      <c r="A311" s="242"/>
      <c r="B311" s="257" t="s">
        <v>823</v>
      </c>
      <c r="C311" s="258">
        <v>0</v>
      </c>
      <c r="D311" s="259">
        <v>0.19627515926721306</v>
      </c>
      <c r="E311" s="259">
        <v>0</v>
      </c>
      <c r="F311" s="259">
        <v>-4.9947204741892764E-2</v>
      </c>
      <c r="G311" s="259">
        <v>0</v>
      </c>
      <c r="H311" s="259">
        <v>0</v>
      </c>
      <c r="I311" s="259">
        <v>0</v>
      </c>
      <c r="J311" s="260">
        <v>7.0964749621761331E-2</v>
      </c>
      <c r="K311" s="260">
        <v>0</v>
      </c>
      <c r="L311" s="259">
        <v>0</v>
      </c>
      <c r="M311" s="259">
        <v>0</v>
      </c>
      <c r="N311" s="259">
        <v>0</v>
      </c>
      <c r="O311" s="260">
        <v>0</v>
      </c>
      <c r="P311" s="260">
        <v>0</v>
      </c>
      <c r="Q311" s="259">
        <v>0</v>
      </c>
      <c r="R311" s="260">
        <v>0</v>
      </c>
      <c r="S311" s="260">
        <v>0</v>
      </c>
      <c r="T311" s="260">
        <v>0</v>
      </c>
      <c r="U311" s="260">
        <v>3.5880589773403221E-2</v>
      </c>
      <c r="V311" s="247"/>
    </row>
    <row r="312" spans="1:22" ht="15.75" thickTop="1">
      <c r="A312" s="242"/>
      <c r="B312" s="243" t="s">
        <v>824</v>
      </c>
      <c r="C312" s="244">
        <v>0.66180728352465612</v>
      </c>
      <c r="D312" s="245">
        <v>0.70260163416712618</v>
      </c>
      <c r="E312" s="245">
        <v>0</v>
      </c>
      <c r="F312" s="245">
        <v>0.2316813248732208</v>
      </c>
      <c r="G312" s="245">
        <v>0.52924157883860301</v>
      </c>
      <c r="H312" s="245">
        <v>0</v>
      </c>
      <c r="I312" s="245">
        <v>0</v>
      </c>
      <c r="J312" s="246">
        <v>0.60607076643919378</v>
      </c>
      <c r="K312" s="246">
        <v>0</v>
      </c>
      <c r="L312" s="245">
        <v>0</v>
      </c>
      <c r="M312" s="245">
        <v>0</v>
      </c>
      <c r="N312" s="245">
        <v>0</v>
      </c>
      <c r="O312" s="246">
        <v>0</v>
      </c>
      <c r="P312" s="246">
        <v>0</v>
      </c>
      <c r="Q312" s="245">
        <v>0</v>
      </c>
      <c r="R312" s="246">
        <v>0</v>
      </c>
      <c r="S312" s="246">
        <v>0</v>
      </c>
      <c r="T312" s="246">
        <v>0</v>
      </c>
      <c r="U312" s="246">
        <v>0.60607076643919378</v>
      </c>
      <c r="V312" s="247"/>
    </row>
    <row r="313" spans="1:22">
      <c r="A313" s="242"/>
      <c r="B313" s="243" t="s">
        <v>825</v>
      </c>
      <c r="C313" s="244">
        <v>0.64543145786259826</v>
      </c>
      <c r="D313" s="245">
        <v>0.70274793114355971</v>
      </c>
      <c r="E313" s="245">
        <v>0</v>
      </c>
      <c r="F313" s="245">
        <v>0.20480284155255843</v>
      </c>
      <c r="G313" s="245">
        <v>0.5382960413080895</v>
      </c>
      <c r="H313" s="245">
        <v>0</v>
      </c>
      <c r="I313" s="245">
        <v>0</v>
      </c>
      <c r="J313" s="246">
        <v>0.59716093530649272</v>
      </c>
      <c r="K313" s="246">
        <v>0</v>
      </c>
      <c r="L313" s="245">
        <v>0</v>
      </c>
      <c r="M313" s="245">
        <v>0</v>
      </c>
      <c r="N313" s="245">
        <v>0</v>
      </c>
      <c r="O313" s="246">
        <v>0</v>
      </c>
      <c r="P313" s="246">
        <v>0</v>
      </c>
      <c r="Q313" s="245">
        <v>0</v>
      </c>
      <c r="R313" s="246">
        <v>0</v>
      </c>
      <c r="S313" s="246">
        <v>0</v>
      </c>
      <c r="T313" s="246">
        <v>0</v>
      </c>
      <c r="U313" s="246">
        <v>0.59716093530649272</v>
      </c>
      <c r="V313" s="247"/>
    </row>
    <row r="314" spans="1:22" s="270" customFormat="1">
      <c r="A314" s="242"/>
      <c r="B314" s="248" t="s">
        <v>826</v>
      </c>
      <c r="C314" s="249">
        <v>-1.6375825662057863</v>
      </c>
      <c r="D314" s="250">
        <v>1.4629697643353534E-2</v>
      </c>
      <c r="E314" s="250">
        <v>0</v>
      </c>
      <c r="F314" s="252">
        <v>-2.6878483320662365</v>
      </c>
      <c r="G314" s="252">
        <v>0.90544624694864906</v>
      </c>
      <c r="H314" s="250">
        <v>0</v>
      </c>
      <c r="I314" s="250">
        <v>0</v>
      </c>
      <c r="J314" s="253">
        <v>-0.89098311327010515</v>
      </c>
      <c r="K314" s="253">
        <v>0</v>
      </c>
      <c r="L314" s="250">
        <v>0</v>
      </c>
      <c r="M314" s="250">
        <v>0</v>
      </c>
      <c r="N314" s="250">
        <v>0</v>
      </c>
      <c r="O314" s="253">
        <v>0</v>
      </c>
      <c r="P314" s="253">
        <v>0</v>
      </c>
      <c r="Q314" s="250">
        <v>0</v>
      </c>
      <c r="R314" s="253">
        <v>0</v>
      </c>
      <c r="S314" s="253">
        <v>0</v>
      </c>
      <c r="T314" s="253">
        <v>0</v>
      </c>
      <c r="U314" s="253">
        <v>-0.89098311327010515</v>
      </c>
      <c r="V314" s="247"/>
    </row>
    <row r="315" spans="1:22">
      <c r="A315" s="242"/>
      <c r="B315" s="219" t="s">
        <v>827</v>
      </c>
      <c r="C315" s="239">
        <v>5.6656830732515005E-2</v>
      </c>
      <c r="D315" s="240">
        <v>9.2355506541681287E-2</v>
      </c>
      <c r="E315" s="240">
        <v>0</v>
      </c>
      <c r="F315" s="240">
        <v>1.3670104608148166E-2</v>
      </c>
      <c r="G315" s="240">
        <v>9.5887580078528628E-2</v>
      </c>
      <c r="H315" s="240">
        <v>0</v>
      </c>
      <c r="I315" s="240">
        <v>0</v>
      </c>
      <c r="J315" s="241">
        <v>6.4529998816614725E-2</v>
      </c>
      <c r="K315" s="241">
        <v>0</v>
      </c>
      <c r="L315" s="240">
        <v>0</v>
      </c>
      <c r="M315" s="240">
        <v>0</v>
      </c>
      <c r="N315" s="240">
        <v>0</v>
      </c>
      <c r="O315" s="241">
        <v>0</v>
      </c>
      <c r="P315" s="241">
        <v>0</v>
      </c>
      <c r="Q315" s="240">
        <v>0</v>
      </c>
      <c r="R315" s="241">
        <v>0</v>
      </c>
      <c r="S315" s="241">
        <v>0</v>
      </c>
      <c r="T315" s="241">
        <v>0</v>
      </c>
      <c r="U315" s="241">
        <v>6.4529998816614725E-2</v>
      </c>
      <c r="V315" s="247"/>
    </row>
    <row r="316" spans="1:22">
      <c r="A316" s="242"/>
      <c r="B316" s="243" t="s">
        <v>828</v>
      </c>
      <c r="C316" s="244">
        <v>5.5862635618382478E-2</v>
      </c>
      <c r="D316" s="245">
        <v>7.6315547800532652E-2</v>
      </c>
      <c r="E316" s="245">
        <v>0</v>
      </c>
      <c r="F316" s="245">
        <v>4.7101822300010298E-3</v>
      </c>
      <c r="G316" s="245">
        <v>0.12069707401032702</v>
      </c>
      <c r="H316" s="245">
        <v>0</v>
      </c>
      <c r="I316" s="245">
        <v>0</v>
      </c>
      <c r="J316" s="246">
        <v>5.7143316854583411E-2</v>
      </c>
      <c r="K316" s="246">
        <v>0</v>
      </c>
      <c r="L316" s="245">
        <v>0</v>
      </c>
      <c r="M316" s="245">
        <v>0</v>
      </c>
      <c r="N316" s="245">
        <v>0</v>
      </c>
      <c r="O316" s="246">
        <v>0</v>
      </c>
      <c r="P316" s="246">
        <v>0</v>
      </c>
      <c r="Q316" s="245">
        <v>0</v>
      </c>
      <c r="R316" s="246">
        <v>0</v>
      </c>
      <c r="S316" s="246">
        <v>0</v>
      </c>
      <c r="T316" s="246">
        <v>0</v>
      </c>
      <c r="U316" s="246">
        <v>5.7143316854583411E-2</v>
      </c>
      <c r="V316" s="247"/>
    </row>
    <row r="317" spans="1:22" s="270" customFormat="1">
      <c r="A317" s="242"/>
      <c r="B317" s="248" t="s">
        <v>829</v>
      </c>
      <c r="C317" s="249">
        <v>-7.9419511413252736E-2</v>
      </c>
      <c r="D317" s="250">
        <v>-1.6039958741148634</v>
      </c>
      <c r="E317" s="250">
        <v>0</v>
      </c>
      <c r="F317" s="250">
        <v>-0.89599223781471371</v>
      </c>
      <c r="G317" s="250">
        <v>2.4809493931798392</v>
      </c>
      <c r="H317" s="250">
        <v>0</v>
      </c>
      <c r="I317" s="250">
        <v>0</v>
      </c>
      <c r="J317" s="253">
        <v>-0.73866819620313151</v>
      </c>
      <c r="K317" s="253">
        <v>0</v>
      </c>
      <c r="L317" s="250">
        <v>0</v>
      </c>
      <c r="M317" s="250">
        <v>0</v>
      </c>
      <c r="N317" s="250">
        <v>0</v>
      </c>
      <c r="O317" s="253">
        <v>0</v>
      </c>
      <c r="P317" s="253">
        <v>0</v>
      </c>
      <c r="Q317" s="250">
        <v>0</v>
      </c>
      <c r="R317" s="253">
        <v>0</v>
      </c>
      <c r="S317" s="253">
        <v>0</v>
      </c>
      <c r="T317" s="253">
        <v>0</v>
      </c>
      <c r="U317" s="253">
        <v>-0.73866819620313151</v>
      </c>
      <c r="V317" s="247"/>
    </row>
    <row r="318" spans="1:22">
      <c r="A318" s="242"/>
      <c r="B318" s="219" t="s">
        <v>830</v>
      </c>
      <c r="C318" s="239">
        <v>0.26923325964091133</v>
      </c>
      <c r="D318" s="240">
        <v>0.19710261165973231</v>
      </c>
      <c r="E318" s="240">
        <v>0</v>
      </c>
      <c r="F318" s="240">
        <v>0.75075332565716946</v>
      </c>
      <c r="G318" s="240">
        <v>0.37487084108286833</v>
      </c>
      <c r="H318" s="240">
        <v>0</v>
      </c>
      <c r="I318" s="240">
        <v>0</v>
      </c>
      <c r="J318" s="241">
        <v>0.32040156206855747</v>
      </c>
      <c r="K318" s="241">
        <v>0</v>
      </c>
      <c r="L318" s="240">
        <v>0</v>
      </c>
      <c r="M318" s="240">
        <v>0</v>
      </c>
      <c r="N318" s="240">
        <v>0</v>
      </c>
      <c r="O318" s="241">
        <v>0</v>
      </c>
      <c r="P318" s="241">
        <v>0</v>
      </c>
      <c r="Q318" s="240">
        <v>0</v>
      </c>
      <c r="R318" s="241">
        <v>0</v>
      </c>
      <c r="S318" s="241">
        <v>0</v>
      </c>
      <c r="T318" s="241">
        <v>0</v>
      </c>
      <c r="U318" s="241">
        <v>0.32040156206855747</v>
      </c>
      <c r="V318" s="247"/>
    </row>
    <row r="319" spans="1:22">
      <c r="A319" s="242"/>
      <c r="B319" s="243" t="s">
        <v>831</v>
      </c>
      <c r="C319" s="244">
        <v>0.28615712124890291</v>
      </c>
      <c r="D319" s="245">
        <v>0.21300803053030071</v>
      </c>
      <c r="E319" s="245">
        <v>0</v>
      </c>
      <c r="F319" s="245">
        <v>0.78832492535776799</v>
      </c>
      <c r="G319" s="245">
        <v>0.34100688468158347</v>
      </c>
      <c r="H319" s="245">
        <v>0</v>
      </c>
      <c r="I319" s="245">
        <v>0</v>
      </c>
      <c r="J319" s="246">
        <v>0.33682618472021658</v>
      </c>
      <c r="K319" s="246">
        <v>0</v>
      </c>
      <c r="L319" s="245">
        <v>0</v>
      </c>
      <c r="M319" s="245">
        <v>0</v>
      </c>
      <c r="N319" s="245">
        <v>0</v>
      </c>
      <c r="O319" s="246">
        <v>0</v>
      </c>
      <c r="P319" s="246">
        <v>0</v>
      </c>
      <c r="Q319" s="245">
        <v>0</v>
      </c>
      <c r="R319" s="246">
        <v>0</v>
      </c>
      <c r="S319" s="246">
        <v>0</v>
      </c>
      <c r="T319" s="246">
        <v>0</v>
      </c>
      <c r="U319" s="246">
        <v>0.33682618472021658</v>
      </c>
      <c r="V319" s="247"/>
    </row>
    <row r="320" spans="1:22" s="270" customFormat="1">
      <c r="A320" s="242"/>
      <c r="B320" s="248" t="s">
        <v>832</v>
      </c>
      <c r="C320" s="249">
        <v>1.6923861607991586</v>
      </c>
      <c r="D320" s="250">
        <v>1.59054188705684</v>
      </c>
      <c r="E320" s="250">
        <v>0</v>
      </c>
      <c r="F320" s="252">
        <v>3.7571599700598535</v>
      </c>
      <c r="G320" s="250">
        <v>-3.3863956401284865</v>
      </c>
      <c r="H320" s="250">
        <v>0</v>
      </c>
      <c r="I320" s="250">
        <v>0</v>
      </c>
      <c r="J320" s="253">
        <v>1.6424622651659115</v>
      </c>
      <c r="K320" s="253">
        <v>0</v>
      </c>
      <c r="L320" s="250">
        <v>0</v>
      </c>
      <c r="M320" s="250">
        <v>0</v>
      </c>
      <c r="N320" s="250">
        <v>0</v>
      </c>
      <c r="O320" s="253">
        <v>0</v>
      </c>
      <c r="P320" s="253">
        <v>0</v>
      </c>
      <c r="Q320" s="250">
        <v>0</v>
      </c>
      <c r="R320" s="253">
        <v>0</v>
      </c>
      <c r="S320" s="253">
        <v>0</v>
      </c>
      <c r="T320" s="253">
        <v>0</v>
      </c>
      <c r="U320" s="253">
        <v>1.6424622651659115</v>
      </c>
      <c r="V320" s="247"/>
    </row>
    <row r="321" spans="1:22">
      <c r="A321" s="242"/>
      <c r="B321" s="219" t="s">
        <v>833</v>
      </c>
      <c r="C321" s="239">
        <v>1.0878111500642882E-2</v>
      </c>
      <c r="D321" s="240">
        <v>7.7297107624442326E-3</v>
      </c>
      <c r="E321" s="240">
        <v>0</v>
      </c>
      <c r="F321" s="240">
        <v>0</v>
      </c>
      <c r="G321" s="240">
        <v>0</v>
      </c>
      <c r="H321" s="240">
        <v>0</v>
      </c>
      <c r="I321" s="240">
        <v>0</v>
      </c>
      <c r="J321" s="241">
        <v>7.680170407478995E-3</v>
      </c>
      <c r="K321" s="241">
        <v>0</v>
      </c>
      <c r="L321" s="240">
        <v>0</v>
      </c>
      <c r="M321" s="240">
        <v>0</v>
      </c>
      <c r="N321" s="240">
        <v>0</v>
      </c>
      <c r="O321" s="241">
        <v>0</v>
      </c>
      <c r="P321" s="241">
        <v>0</v>
      </c>
      <c r="Q321" s="240">
        <v>0</v>
      </c>
      <c r="R321" s="241">
        <v>0</v>
      </c>
      <c r="S321" s="241">
        <v>0</v>
      </c>
      <c r="T321" s="241">
        <v>0</v>
      </c>
      <c r="U321" s="241">
        <v>7.680170407478995E-3</v>
      </c>
      <c r="V321" s="247"/>
    </row>
    <row r="322" spans="1:22">
      <c r="A322" s="242"/>
      <c r="B322" s="243" t="s">
        <v>834</v>
      </c>
      <c r="C322" s="244">
        <v>1.1708464827921048E-2</v>
      </c>
      <c r="D322" s="245">
        <v>7.683595065356476E-3</v>
      </c>
      <c r="E322" s="245">
        <v>0</v>
      </c>
      <c r="F322" s="245">
        <v>0</v>
      </c>
      <c r="G322" s="245">
        <v>0</v>
      </c>
      <c r="H322" s="245">
        <v>0</v>
      </c>
      <c r="I322" s="245">
        <v>0</v>
      </c>
      <c r="J322" s="246">
        <v>8.0731125529458613E-3</v>
      </c>
      <c r="K322" s="246">
        <v>0</v>
      </c>
      <c r="L322" s="245">
        <v>0</v>
      </c>
      <c r="M322" s="245">
        <v>0</v>
      </c>
      <c r="N322" s="245">
        <v>0</v>
      </c>
      <c r="O322" s="246">
        <v>0</v>
      </c>
      <c r="P322" s="246">
        <v>0</v>
      </c>
      <c r="Q322" s="245">
        <v>0</v>
      </c>
      <c r="R322" s="246">
        <v>0</v>
      </c>
      <c r="S322" s="246">
        <v>0</v>
      </c>
      <c r="T322" s="246">
        <v>0</v>
      </c>
      <c r="U322" s="246">
        <v>8.0731125529458613E-3</v>
      </c>
      <c r="V322" s="247"/>
    </row>
    <row r="323" spans="1:22" s="270" customFormat="1">
      <c r="A323" s="242"/>
      <c r="B323" s="248" t="s">
        <v>835</v>
      </c>
      <c r="C323" s="249">
        <v>8.3035332727816533E-2</v>
      </c>
      <c r="D323" s="250">
        <v>-4.611569708775666E-3</v>
      </c>
      <c r="E323" s="250">
        <v>0</v>
      </c>
      <c r="F323" s="250">
        <v>0</v>
      </c>
      <c r="G323" s="250">
        <v>0</v>
      </c>
      <c r="H323" s="250">
        <v>0</v>
      </c>
      <c r="I323" s="250">
        <v>0</v>
      </c>
      <c r="J323" s="253">
        <v>3.9294214546686627E-2</v>
      </c>
      <c r="K323" s="253">
        <v>0</v>
      </c>
      <c r="L323" s="250">
        <v>0</v>
      </c>
      <c r="M323" s="250">
        <v>0</v>
      </c>
      <c r="N323" s="250">
        <v>0</v>
      </c>
      <c r="O323" s="253">
        <v>0</v>
      </c>
      <c r="P323" s="253">
        <v>0</v>
      </c>
      <c r="Q323" s="250">
        <v>0</v>
      </c>
      <c r="R323" s="253">
        <v>0</v>
      </c>
      <c r="S323" s="253">
        <v>0</v>
      </c>
      <c r="T323" s="253">
        <v>0</v>
      </c>
      <c r="U323" s="253">
        <v>3.9294214546686627E-2</v>
      </c>
      <c r="V323" s="247"/>
    </row>
    <row r="324" spans="1:22">
      <c r="A324" s="242"/>
      <c r="B324" s="219" t="s">
        <v>836</v>
      </c>
      <c r="C324" s="239">
        <v>0</v>
      </c>
      <c r="D324" s="240">
        <v>0</v>
      </c>
      <c r="E324" s="240">
        <v>0</v>
      </c>
      <c r="F324" s="240">
        <v>1.3229133491756289E-3</v>
      </c>
      <c r="G324" s="240">
        <v>0</v>
      </c>
      <c r="H324" s="240">
        <v>0</v>
      </c>
      <c r="I324" s="240">
        <v>0</v>
      </c>
      <c r="J324" s="241">
        <v>2.1300934874363931E-4</v>
      </c>
      <c r="K324" s="241">
        <v>0</v>
      </c>
      <c r="L324" s="240">
        <v>0</v>
      </c>
      <c r="M324" s="240">
        <v>0</v>
      </c>
      <c r="N324" s="240">
        <v>0</v>
      </c>
      <c r="O324" s="241">
        <v>0</v>
      </c>
      <c r="P324" s="241">
        <v>0</v>
      </c>
      <c r="Q324" s="240">
        <v>0</v>
      </c>
      <c r="R324" s="241">
        <v>0</v>
      </c>
      <c r="S324" s="241">
        <v>0</v>
      </c>
      <c r="T324" s="241">
        <v>0</v>
      </c>
      <c r="U324" s="241">
        <v>2.1300934874363931E-4</v>
      </c>
      <c r="V324" s="247"/>
    </row>
    <row r="325" spans="1:22">
      <c r="A325" s="242"/>
      <c r="B325" s="243" t="s">
        <v>837</v>
      </c>
      <c r="C325" s="244">
        <v>0</v>
      </c>
      <c r="D325" s="245">
        <v>0</v>
      </c>
      <c r="E325" s="245">
        <v>0</v>
      </c>
      <c r="F325" s="245">
        <v>7.7216102131164423E-4</v>
      </c>
      <c r="G325" s="245">
        <v>0</v>
      </c>
      <c r="H325" s="245">
        <v>0</v>
      </c>
      <c r="I325" s="245">
        <v>0</v>
      </c>
      <c r="J325" s="246">
        <v>1.2067432814567805E-4</v>
      </c>
      <c r="K325" s="246">
        <v>0</v>
      </c>
      <c r="L325" s="245">
        <v>0</v>
      </c>
      <c r="M325" s="245">
        <v>0</v>
      </c>
      <c r="N325" s="245">
        <v>0</v>
      </c>
      <c r="O325" s="246">
        <v>0</v>
      </c>
      <c r="P325" s="246">
        <v>0</v>
      </c>
      <c r="Q325" s="245">
        <v>0</v>
      </c>
      <c r="R325" s="246">
        <v>0</v>
      </c>
      <c r="S325" s="246">
        <v>0</v>
      </c>
      <c r="T325" s="246">
        <v>0</v>
      </c>
      <c r="U325" s="246">
        <v>1.2067432814567805E-4</v>
      </c>
      <c r="V325" s="247"/>
    </row>
    <row r="326" spans="1:22" s="270" customFormat="1">
      <c r="A326" s="242"/>
      <c r="B326" s="248" t="s">
        <v>838</v>
      </c>
      <c r="C326" s="249">
        <v>0</v>
      </c>
      <c r="D326" s="250">
        <v>0</v>
      </c>
      <c r="E326" s="250">
        <v>0</v>
      </c>
      <c r="F326" s="250">
        <v>-5.5075232786398469E-2</v>
      </c>
      <c r="G326" s="250">
        <v>0</v>
      </c>
      <c r="H326" s="250">
        <v>0</v>
      </c>
      <c r="I326" s="250">
        <v>0</v>
      </c>
      <c r="J326" s="253">
        <v>-9.2335020597961257E-3</v>
      </c>
      <c r="K326" s="253">
        <v>0</v>
      </c>
      <c r="L326" s="250">
        <v>0</v>
      </c>
      <c r="M326" s="250">
        <v>0</v>
      </c>
      <c r="N326" s="250">
        <v>0</v>
      </c>
      <c r="O326" s="253">
        <v>0</v>
      </c>
      <c r="P326" s="253">
        <v>0</v>
      </c>
      <c r="Q326" s="250">
        <v>0</v>
      </c>
      <c r="R326" s="253">
        <v>0</v>
      </c>
      <c r="S326" s="253">
        <v>0</v>
      </c>
      <c r="T326" s="253">
        <v>0</v>
      </c>
      <c r="U326" s="253">
        <v>-9.2335020597961257E-3</v>
      </c>
      <c r="V326" s="247"/>
    </row>
    <row r="327" spans="1:22">
      <c r="A327" s="242"/>
      <c r="B327" s="219" t="s">
        <v>839</v>
      </c>
      <c r="C327" s="239">
        <v>1.4245146012746631E-3</v>
      </c>
      <c r="D327" s="240">
        <v>2.1053686901599078E-4</v>
      </c>
      <c r="E327" s="240">
        <v>0</v>
      </c>
      <c r="F327" s="240">
        <v>2.5723315122859452E-3</v>
      </c>
      <c r="G327" s="240">
        <v>0</v>
      </c>
      <c r="H327" s="240">
        <v>0</v>
      </c>
      <c r="I327" s="240">
        <v>0</v>
      </c>
      <c r="J327" s="241">
        <v>1.1044929194114631E-3</v>
      </c>
      <c r="K327" s="241">
        <v>0</v>
      </c>
      <c r="L327" s="240">
        <v>0</v>
      </c>
      <c r="M327" s="240">
        <v>0</v>
      </c>
      <c r="N327" s="240">
        <v>0</v>
      </c>
      <c r="O327" s="241">
        <v>0</v>
      </c>
      <c r="P327" s="241">
        <v>0</v>
      </c>
      <c r="Q327" s="240">
        <v>0</v>
      </c>
      <c r="R327" s="241">
        <v>0</v>
      </c>
      <c r="S327" s="241">
        <v>0</v>
      </c>
      <c r="T327" s="241">
        <v>0</v>
      </c>
      <c r="U327" s="241">
        <v>1.1044929194114631E-3</v>
      </c>
      <c r="V327" s="247"/>
    </row>
    <row r="328" spans="1:22">
      <c r="A328" s="242"/>
      <c r="B328" s="243" t="s">
        <v>840</v>
      </c>
      <c r="C328" s="256">
        <v>8.4032044219529045E-4</v>
      </c>
      <c r="D328" s="245">
        <v>2.4489546025040562E-4</v>
      </c>
      <c r="E328" s="245">
        <v>0</v>
      </c>
      <c r="F328" s="245">
        <v>1.3898898383609595E-3</v>
      </c>
      <c r="G328" s="245">
        <v>0</v>
      </c>
      <c r="H328" s="245">
        <v>0</v>
      </c>
      <c r="I328" s="245">
        <v>0</v>
      </c>
      <c r="J328" s="246">
        <v>6.7577623761579705E-4</v>
      </c>
      <c r="K328" s="246">
        <v>0</v>
      </c>
      <c r="L328" s="245">
        <v>0</v>
      </c>
      <c r="M328" s="245">
        <v>0</v>
      </c>
      <c r="N328" s="245">
        <v>0</v>
      </c>
      <c r="O328" s="246">
        <v>0</v>
      </c>
      <c r="P328" s="246">
        <v>0</v>
      </c>
      <c r="Q328" s="245">
        <v>0</v>
      </c>
      <c r="R328" s="246">
        <v>0</v>
      </c>
      <c r="S328" s="246">
        <v>0</v>
      </c>
      <c r="T328" s="246">
        <v>0</v>
      </c>
      <c r="U328" s="246">
        <v>6.7577623761579705E-4</v>
      </c>
      <c r="V328" s="247"/>
    </row>
    <row r="329" spans="1:22" s="270" customFormat="1" ht="15.75" thickBot="1">
      <c r="A329" s="261"/>
      <c r="B329" s="262" t="s">
        <v>841</v>
      </c>
      <c r="C329" s="263">
        <v>-5.8419415907937262E-2</v>
      </c>
      <c r="D329" s="264">
        <v>3.4358591234414848E-3</v>
      </c>
      <c r="E329" s="264">
        <v>0</v>
      </c>
      <c r="F329" s="264">
        <v>-0.11824416739249857</v>
      </c>
      <c r="G329" s="264">
        <v>0</v>
      </c>
      <c r="H329" s="264">
        <v>0</v>
      </c>
      <c r="I329" s="264">
        <v>0</v>
      </c>
      <c r="J329" s="265">
        <v>-4.2871668179566606E-2</v>
      </c>
      <c r="K329" s="265">
        <v>0</v>
      </c>
      <c r="L329" s="264">
        <v>0</v>
      </c>
      <c r="M329" s="264">
        <v>0</v>
      </c>
      <c r="N329" s="264">
        <v>0</v>
      </c>
      <c r="O329" s="265">
        <v>0</v>
      </c>
      <c r="P329" s="265">
        <v>0</v>
      </c>
      <c r="Q329" s="264">
        <v>0</v>
      </c>
      <c r="R329" s="265">
        <v>0</v>
      </c>
      <c r="S329" s="265">
        <v>0</v>
      </c>
      <c r="T329" s="265">
        <v>0</v>
      </c>
      <c r="U329" s="265">
        <v>-4.2871668179566606E-2</v>
      </c>
      <c r="V329" s="247"/>
    </row>
    <row r="330" spans="1:22">
      <c r="A330" s="238" t="s">
        <v>384</v>
      </c>
      <c r="B330" s="219" t="s">
        <v>806</v>
      </c>
      <c r="C330" s="239">
        <v>0.8672258773410757</v>
      </c>
      <c r="D330" s="240">
        <v>0.78964059861446978</v>
      </c>
      <c r="E330" s="240">
        <v>0.85639009645112274</v>
      </c>
      <c r="F330" s="240">
        <v>0.68868268814878897</v>
      </c>
      <c r="G330" s="240">
        <v>0.75185920116469107</v>
      </c>
      <c r="H330" s="240">
        <v>0.88761777499011441</v>
      </c>
      <c r="I330" s="240">
        <v>0</v>
      </c>
      <c r="J330" s="241">
        <v>0.84317568122924558</v>
      </c>
      <c r="K330" s="241">
        <v>0</v>
      </c>
      <c r="L330" s="240">
        <v>0.42367662273670847</v>
      </c>
      <c r="M330" s="240">
        <v>0.35146583953914873</v>
      </c>
      <c r="N330" s="240">
        <v>0.30390813638114272</v>
      </c>
      <c r="O330" s="241">
        <v>0.37645424892610124</v>
      </c>
      <c r="P330" s="241">
        <v>0</v>
      </c>
      <c r="Q330" s="240">
        <v>0</v>
      </c>
      <c r="R330" s="241">
        <v>0</v>
      </c>
      <c r="S330" s="241">
        <v>0</v>
      </c>
      <c r="T330" s="241">
        <v>0</v>
      </c>
      <c r="U330" s="241">
        <v>0.66041550903021762</v>
      </c>
      <c r="V330" s="247"/>
    </row>
    <row r="331" spans="1:22">
      <c r="A331" s="242"/>
      <c r="B331" s="243" t="s">
        <v>807</v>
      </c>
      <c r="C331" s="244">
        <v>0.86418762246125302</v>
      </c>
      <c r="D331" s="245">
        <v>0.79574111540269343</v>
      </c>
      <c r="E331" s="245">
        <v>0.84198938658423617</v>
      </c>
      <c r="F331" s="245">
        <v>0.6604331540259667</v>
      </c>
      <c r="G331" s="245">
        <v>0.75837575428260928</v>
      </c>
      <c r="H331" s="245">
        <v>0.92998764823898161</v>
      </c>
      <c r="I331" s="245">
        <v>0</v>
      </c>
      <c r="J331" s="246">
        <v>0.83916356183791441</v>
      </c>
      <c r="K331" s="246">
        <v>0</v>
      </c>
      <c r="L331" s="245">
        <v>0.40432170451018556</v>
      </c>
      <c r="M331" s="245">
        <v>0.32531191711452828</v>
      </c>
      <c r="N331" s="245">
        <v>0.29438824686700632</v>
      </c>
      <c r="O331" s="246">
        <v>0.35634790519172788</v>
      </c>
      <c r="P331" s="246">
        <v>0</v>
      </c>
      <c r="Q331" s="245">
        <v>0</v>
      </c>
      <c r="R331" s="246">
        <v>0</v>
      </c>
      <c r="S331" s="246">
        <v>0</v>
      </c>
      <c r="T331" s="246">
        <v>0</v>
      </c>
      <c r="U331" s="246">
        <v>0.65168295438649704</v>
      </c>
      <c r="V331" s="247"/>
    </row>
    <row r="332" spans="1:22">
      <c r="A332" s="242"/>
      <c r="B332" s="248" t="s">
        <v>808</v>
      </c>
      <c r="C332" s="249">
        <v>-0.30382548798226772</v>
      </c>
      <c r="D332" s="250">
        <v>0.61005167882236533</v>
      </c>
      <c r="E332" s="250">
        <v>-1.4400709866886574</v>
      </c>
      <c r="F332" s="252">
        <v>-2.8249534122822273</v>
      </c>
      <c r="G332" s="250">
        <v>0.65165531179182112</v>
      </c>
      <c r="H332" s="250">
        <v>4.2369873248867211</v>
      </c>
      <c r="I332" s="250">
        <v>0</v>
      </c>
      <c r="J332" s="253">
        <v>-0.40121193913311703</v>
      </c>
      <c r="K332" s="253">
        <v>0</v>
      </c>
      <c r="L332" s="252">
        <v>-1.935491822652291</v>
      </c>
      <c r="M332" s="250">
        <v>-2.6153922424620446</v>
      </c>
      <c r="N332" s="250">
        <v>-0.95198895141364037</v>
      </c>
      <c r="O332" s="253">
        <v>-2.0106343734373366</v>
      </c>
      <c r="P332" s="253">
        <v>0</v>
      </c>
      <c r="Q332" s="250">
        <v>0</v>
      </c>
      <c r="R332" s="253">
        <v>0</v>
      </c>
      <c r="S332" s="253">
        <v>0</v>
      </c>
      <c r="T332" s="253">
        <v>0</v>
      </c>
      <c r="U332" s="253">
        <v>-0.87325546437205803</v>
      </c>
      <c r="V332" s="247"/>
    </row>
    <row r="333" spans="1:22">
      <c r="A333" s="242"/>
      <c r="B333" s="219" t="s">
        <v>809</v>
      </c>
      <c r="C333" s="239">
        <v>1.5963340084931591E-3</v>
      </c>
      <c r="D333" s="240">
        <v>4.4213697441203015E-3</v>
      </c>
      <c r="E333" s="240">
        <v>8.7993875015290723E-3</v>
      </c>
      <c r="F333" s="240">
        <v>1.0454963235294117E-2</v>
      </c>
      <c r="G333" s="240">
        <v>5.3370009904073973E-3</v>
      </c>
      <c r="H333" s="240">
        <v>5.1541471795361268E-3</v>
      </c>
      <c r="I333" s="240">
        <v>0</v>
      </c>
      <c r="J333" s="241">
        <v>4.7783126494381897E-3</v>
      </c>
      <c r="K333" s="241">
        <v>0</v>
      </c>
      <c r="L333" s="240">
        <v>1.8186019887348411E-2</v>
      </c>
      <c r="M333" s="240">
        <v>2.5726146112830924E-2</v>
      </c>
      <c r="N333" s="240">
        <v>2.810712130655451E-2</v>
      </c>
      <c r="O333" s="241">
        <v>2.2682233660829096E-2</v>
      </c>
      <c r="P333" s="241">
        <v>0</v>
      </c>
      <c r="Q333" s="240">
        <v>0</v>
      </c>
      <c r="R333" s="241">
        <v>0</v>
      </c>
      <c r="S333" s="241">
        <v>0</v>
      </c>
      <c r="T333" s="241">
        <v>0</v>
      </c>
      <c r="U333" s="241">
        <v>1.1789183504313119E-2</v>
      </c>
      <c r="V333" s="247"/>
    </row>
    <row r="334" spans="1:22">
      <c r="A334" s="242"/>
      <c r="B334" s="243" t="s">
        <v>810</v>
      </c>
      <c r="C334" s="244">
        <v>1.2616894343934391E-3</v>
      </c>
      <c r="D334" s="245">
        <v>3.845132040828197E-3</v>
      </c>
      <c r="E334" s="245">
        <v>8.1136515906820601E-3</v>
      </c>
      <c r="F334" s="245">
        <v>6.6465767313487484E-3</v>
      </c>
      <c r="G334" s="245">
        <v>5.6124345811765378E-3</v>
      </c>
      <c r="H334" s="245">
        <v>6.7399204632267373E-3</v>
      </c>
      <c r="I334" s="245">
        <v>0</v>
      </c>
      <c r="J334" s="246">
        <v>4.298414277757478E-3</v>
      </c>
      <c r="K334" s="246">
        <v>0</v>
      </c>
      <c r="L334" s="245">
        <v>1.9432904497508344E-2</v>
      </c>
      <c r="M334" s="245">
        <v>2.6906412000553812E-2</v>
      </c>
      <c r="N334" s="245">
        <v>3.2553019025627475E-2</v>
      </c>
      <c r="O334" s="246">
        <v>2.4429874522973089E-2</v>
      </c>
      <c r="P334" s="246">
        <v>0</v>
      </c>
      <c r="Q334" s="245">
        <v>0</v>
      </c>
      <c r="R334" s="246">
        <v>0</v>
      </c>
      <c r="S334" s="246">
        <v>0</v>
      </c>
      <c r="T334" s="246">
        <v>0</v>
      </c>
      <c r="U334" s="246">
        <v>1.2115597386264059E-2</v>
      </c>
      <c r="V334" s="247"/>
    </row>
    <row r="335" spans="1:22">
      <c r="A335" s="242"/>
      <c r="B335" s="248" t="s">
        <v>811</v>
      </c>
      <c r="C335" s="249">
        <v>-3.3464457409972004E-2</v>
      </c>
      <c r="D335" s="250">
        <v>-5.7623770329210455E-2</v>
      </c>
      <c r="E335" s="250">
        <v>-6.8573591084701221E-2</v>
      </c>
      <c r="F335" s="250">
        <v>-0.38083865039453685</v>
      </c>
      <c r="G335" s="250">
        <v>2.7543359076914048E-2</v>
      </c>
      <c r="H335" s="250">
        <v>0.15857732836906105</v>
      </c>
      <c r="I335" s="250">
        <v>0</v>
      </c>
      <c r="J335" s="253">
        <v>-4.7989837168071169E-2</v>
      </c>
      <c r="K335" s="253">
        <v>0</v>
      </c>
      <c r="L335" s="250">
        <v>0.12468846101599332</v>
      </c>
      <c r="M335" s="250">
        <v>0.1180265887722888</v>
      </c>
      <c r="N335" s="250">
        <v>0.44458977190729654</v>
      </c>
      <c r="O335" s="253">
        <v>0.17476408621439932</v>
      </c>
      <c r="P335" s="253">
        <v>0</v>
      </c>
      <c r="Q335" s="250">
        <v>0</v>
      </c>
      <c r="R335" s="253">
        <v>0</v>
      </c>
      <c r="S335" s="253">
        <v>0</v>
      </c>
      <c r="T335" s="253">
        <v>0</v>
      </c>
      <c r="U335" s="253">
        <v>3.2641388195094045E-2</v>
      </c>
      <c r="V335" s="247"/>
    </row>
    <row r="336" spans="1:22">
      <c r="A336" s="242"/>
      <c r="B336" s="219" t="s">
        <v>812</v>
      </c>
      <c r="C336" s="239">
        <v>0.12990647242860173</v>
      </c>
      <c r="D336" s="240">
        <v>0.20591444680991569</v>
      </c>
      <c r="E336" s="240">
        <v>0.13470185096988238</v>
      </c>
      <c r="F336" s="240">
        <v>0.30086234861591693</v>
      </c>
      <c r="G336" s="240">
        <v>0.19137260666127717</v>
      </c>
      <c r="H336" s="240">
        <v>9.0333928741869948E-2</v>
      </c>
      <c r="I336" s="240">
        <v>0</v>
      </c>
      <c r="J336" s="241">
        <v>0.1480863028667338</v>
      </c>
      <c r="K336" s="241">
        <v>0</v>
      </c>
      <c r="L336" s="240">
        <v>0.5563417319550934</v>
      </c>
      <c r="M336" s="240">
        <v>0.6143803721669433</v>
      </c>
      <c r="N336" s="240">
        <v>0.6543271455334102</v>
      </c>
      <c r="O336" s="241">
        <v>0.59458590022001234</v>
      </c>
      <c r="P336" s="241">
        <v>0</v>
      </c>
      <c r="Q336" s="240">
        <v>0</v>
      </c>
      <c r="R336" s="241">
        <v>0</v>
      </c>
      <c r="S336" s="241">
        <v>0</v>
      </c>
      <c r="T336" s="241">
        <v>0</v>
      </c>
      <c r="U336" s="241">
        <v>0.32292794854903362</v>
      </c>
      <c r="V336" s="247"/>
    </row>
    <row r="337" spans="1:22">
      <c r="A337" s="242"/>
      <c r="B337" s="243" t="s">
        <v>813</v>
      </c>
      <c r="C337" s="244">
        <v>0.13304869734327324</v>
      </c>
      <c r="D337" s="245">
        <v>0.20024397567160121</v>
      </c>
      <c r="E337" s="245">
        <v>0.14978328120956175</v>
      </c>
      <c r="F337" s="245">
        <v>0.33292026924268453</v>
      </c>
      <c r="G337" s="245">
        <v>0.19398647296021965</v>
      </c>
      <c r="H337" s="245">
        <v>4.4130771592377604E-2</v>
      </c>
      <c r="I337" s="245">
        <v>0</v>
      </c>
      <c r="J337" s="246">
        <v>0.15301790899729545</v>
      </c>
      <c r="K337" s="246">
        <v>0</v>
      </c>
      <c r="L337" s="245">
        <v>0.57480991935434145</v>
      </c>
      <c r="M337" s="245">
        <v>0.64003893016381141</v>
      </c>
      <c r="N337" s="245">
        <v>0.6619125890487908</v>
      </c>
      <c r="O337" s="246">
        <v>0.61379934244601941</v>
      </c>
      <c r="P337" s="246">
        <v>0</v>
      </c>
      <c r="Q337" s="245">
        <v>0</v>
      </c>
      <c r="R337" s="246">
        <v>0</v>
      </c>
      <c r="S337" s="246">
        <v>0</v>
      </c>
      <c r="T337" s="246">
        <v>0</v>
      </c>
      <c r="U337" s="246">
        <v>0.3319424775280288</v>
      </c>
      <c r="V337" s="247"/>
    </row>
    <row r="338" spans="1:22">
      <c r="A338" s="242"/>
      <c r="B338" s="248" t="s">
        <v>814</v>
      </c>
      <c r="C338" s="249">
        <v>0.31422249146715042</v>
      </c>
      <c r="D338" s="250">
        <v>-0.56704711383144812</v>
      </c>
      <c r="E338" s="250">
        <v>1.5081430239679365</v>
      </c>
      <c r="F338" s="252">
        <v>3.20579206267676</v>
      </c>
      <c r="G338" s="250">
        <v>0.26138662989424744</v>
      </c>
      <c r="H338" s="250">
        <v>-4.6203157149492347</v>
      </c>
      <c r="I338" s="250">
        <v>0</v>
      </c>
      <c r="J338" s="253">
        <v>0.49316061305616499</v>
      </c>
      <c r="K338" s="253">
        <v>0</v>
      </c>
      <c r="L338" s="252">
        <v>1.8468187399248048</v>
      </c>
      <c r="M338" s="250">
        <v>2.5658557996868114</v>
      </c>
      <c r="N338" s="250">
        <v>0.75854435153805966</v>
      </c>
      <c r="O338" s="253">
        <v>1.9213442226007071</v>
      </c>
      <c r="P338" s="253">
        <v>0</v>
      </c>
      <c r="Q338" s="250">
        <v>0</v>
      </c>
      <c r="R338" s="253">
        <v>0</v>
      </c>
      <c r="S338" s="253">
        <v>0</v>
      </c>
      <c r="T338" s="253">
        <v>0</v>
      </c>
      <c r="U338" s="253">
        <v>0.90145289789951843</v>
      </c>
      <c r="V338" s="247"/>
    </row>
    <row r="339" spans="1:22">
      <c r="A339" s="242"/>
      <c r="B339" s="219" t="s">
        <v>815</v>
      </c>
      <c r="C339" s="239">
        <v>7.4501396138736408E-5</v>
      </c>
      <c r="D339" s="240">
        <v>2.3584831494240584E-5</v>
      </c>
      <c r="E339" s="240">
        <v>1.0866507746578137E-4</v>
      </c>
      <c r="F339" s="240">
        <v>0</v>
      </c>
      <c r="G339" s="240">
        <v>1.8198298459094074E-3</v>
      </c>
      <c r="H339" s="240">
        <v>1.6894149088479526E-2</v>
      </c>
      <c r="I339" s="240">
        <v>0</v>
      </c>
      <c r="J339" s="241">
        <v>6.5578558486058746E-4</v>
      </c>
      <c r="K339" s="241">
        <v>0</v>
      </c>
      <c r="L339" s="240">
        <v>1.4430081507050352E-3</v>
      </c>
      <c r="M339" s="240">
        <v>8.0628757104757136E-3</v>
      </c>
      <c r="N339" s="240">
        <v>1.0051529421739409E-2</v>
      </c>
      <c r="O339" s="241">
        <v>5.3733612446396064E-3</v>
      </c>
      <c r="P339" s="241">
        <v>0</v>
      </c>
      <c r="Q339" s="240">
        <v>0</v>
      </c>
      <c r="R339" s="241">
        <v>0</v>
      </c>
      <c r="S339" s="241">
        <v>0</v>
      </c>
      <c r="T339" s="241">
        <v>0</v>
      </c>
      <c r="U339" s="241">
        <v>2.5031079494850414E-3</v>
      </c>
      <c r="V339" s="247"/>
    </row>
    <row r="340" spans="1:22">
      <c r="A340" s="242"/>
      <c r="B340" s="243" t="s">
        <v>816</v>
      </c>
      <c r="C340" s="244">
        <v>1.0489002452879017E-4</v>
      </c>
      <c r="D340" s="245">
        <v>1.6977688487712398E-4</v>
      </c>
      <c r="E340" s="245">
        <v>1.1368061552006463E-4</v>
      </c>
      <c r="F340" s="245">
        <v>0</v>
      </c>
      <c r="G340" s="245">
        <v>1.6086595933308548E-3</v>
      </c>
      <c r="H340" s="245">
        <v>1.9141659705414069E-2</v>
      </c>
      <c r="I340" s="245">
        <v>0</v>
      </c>
      <c r="J340" s="246">
        <v>7.0896701323842849E-4</v>
      </c>
      <c r="K340" s="246">
        <v>0</v>
      </c>
      <c r="L340" s="245">
        <v>1.4261891423842659E-3</v>
      </c>
      <c r="M340" s="245">
        <v>7.7427407211065448E-3</v>
      </c>
      <c r="N340" s="245">
        <v>6.3584059984690055E-3</v>
      </c>
      <c r="O340" s="246">
        <v>4.6108912500489423E-3</v>
      </c>
      <c r="P340" s="246">
        <v>0</v>
      </c>
      <c r="Q340" s="245">
        <v>0</v>
      </c>
      <c r="R340" s="246">
        <v>0</v>
      </c>
      <c r="S340" s="246">
        <v>0</v>
      </c>
      <c r="T340" s="246">
        <v>0</v>
      </c>
      <c r="U340" s="246">
        <v>2.224110766504743E-3</v>
      </c>
      <c r="V340" s="247"/>
    </row>
    <row r="341" spans="1:22">
      <c r="A341" s="242"/>
      <c r="B341" s="248" t="s">
        <v>817</v>
      </c>
      <c r="C341" s="249">
        <v>3.0388628390053758E-3</v>
      </c>
      <c r="D341" s="250">
        <v>1.4619205338288338E-2</v>
      </c>
      <c r="E341" s="250">
        <v>5.0155380542832621E-4</v>
      </c>
      <c r="F341" s="250">
        <v>0</v>
      </c>
      <c r="G341" s="250">
        <v>-2.1117025257855259E-2</v>
      </c>
      <c r="H341" s="250">
        <v>0.22475106169345427</v>
      </c>
      <c r="I341" s="250">
        <v>0</v>
      </c>
      <c r="J341" s="253">
        <v>5.318142837784103E-3</v>
      </c>
      <c r="K341" s="253">
        <v>0</v>
      </c>
      <c r="L341" s="250">
        <v>-1.6819008320769369E-3</v>
      </c>
      <c r="M341" s="250">
        <v>-3.2013498936916879E-2</v>
      </c>
      <c r="N341" s="250">
        <v>-0.36931234232704035</v>
      </c>
      <c r="O341" s="253">
        <v>-7.624699945906642E-2</v>
      </c>
      <c r="P341" s="253">
        <v>0</v>
      </c>
      <c r="Q341" s="250">
        <v>0</v>
      </c>
      <c r="R341" s="253">
        <v>0</v>
      </c>
      <c r="S341" s="253">
        <v>0</v>
      </c>
      <c r="T341" s="253">
        <v>0</v>
      </c>
      <c r="U341" s="253">
        <v>-2.7899718298029848E-2</v>
      </c>
      <c r="V341" s="247"/>
    </row>
    <row r="342" spans="1:22">
      <c r="A342" s="242"/>
      <c r="B342" s="219" t="s">
        <v>818</v>
      </c>
      <c r="C342" s="239">
        <v>1.1968148256906955E-3</v>
      </c>
      <c r="D342" s="240">
        <v>0</v>
      </c>
      <c r="E342" s="240">
        <v>0</v>
      </c>
      <c r="F342" s="240">
        <v>0</v>
      </c>
      <c r="G342" s="240">
        <v>4.9611361337714925E-2</v>
      </c>
      <c r="H342" s="240">
        <v>0</v>
      </c>
      <c r="I342" s="240">
        <v>0</v>
      </c>
      <c r="J342" s="241">
        <v>3.3039176697218582E-3</v>
      </c>
      <c r="K342" s="241">
        <v>0</v>
      </c>
      <c r="L342" s="240">
        <v>3.5261727014467269E-4</v>
      </c>
      <c r="M342" s="240">
        <v>3.6476647060131875E-4</v>
      </c>
      <c r="N342" s="240">
        <v>3.6060673571531011E-3</v>
      </c>
      <c r="O342" s="241">
        <v>9.0425594841767347E-4</v>
      </c>
      <c r="P342" s="241">
        <v>0</v>
      </c>
      <c r="Q342" s="240">
        <v>0</v>
      </c>
      <c r="R342" s="241">
        <v>0</v>
      </c>
      <c r="S342" s="241">
        <v>0</v>
      </c>
      <c r="T342" s="241">
        <v>0</v>
      </c>
      <c r="U342" s="241">
        <v>2.3642509669506129E-3</v>
      </c>
      <c r="V342" s="247"/>
    </row>
    <row r="343" spans="1:22">
      <c r="A343" s="242"/>
      <c r="B343" s="243" t="s">
        <v>819</v>
      </c>
      <c r="C343" s="244">
        <v>1.3971007365515082E-3</v>
      </c>
      <c r="D343" s="245">
        <v>0</v>
      </c>
      <c r="E343" s="245">
        <v>0</v>
      </c>
      <c r="F343" s="245">
        <v>0</v>
      </c>
      <c r="G343" s="245">
        <v>4.0416678582663651E-2</v>
      </c>
      <c r="H343" s="245">
        <v>0</v>
      </c>
      <c r="I343" s="245">
        <v>0</v>
      </c>
      <c r="J343" s="246">
        <v>2.8111478737942153E-3</v>
      </c>
      <c r="K343" s="246">
        <v>0</v>
      </c>
      <c r="L343" s="245">
        <v>9.2824955803717908E-6</v>
      </c>
      <c r="M343" s="245">
        <v>0</v>
      </c>
      <c r="N343" s="245">
        <v>4.7877390601064121E-3</v>
      </c>
      <c r="O343" s="246">
        <v>8.1198658923070915E-4</v>
      </c>
      <c r="P343" s="246">
        <v>0</v>
      </c>
      <c r="Q343" s="245">
        <v>0</v>
      </c>
      <c r="R343" s="246">
        <v>0</v>
      </c>
      <c r="S343" s="246">
        <v>0</v>
      </c>
      <c r="T343" s="246">
        <v>0</v>
      </c>
      <c r="U343" s="246">
        <v>2.0348599327053808E-3</v>
      </c>
      <c r="V343" s="247"/>
    </row>
    <row r="344" spans="1:22">
      <c r="A344" s="242"/>
      <c r="B344" s="248" t="s">
        <v>820</v>
      </c>
      <c r="C344" s="249">
        <v>2.0028591086081269E-2</v>
      </c>
      <c r="D344" s="250">
        <v>0</v>
      </c>
      <c r="E344" s="250">
        <v>0</v>
      </c>
      <c r="F344" s="250">
        <v>0</v>
      </c>
      <c r="G344" s="250">
        <v>-0.91946827550512744</v>
      </c>
      <c r="H344" s="250">
        <v>0</v>
      </c>
      <c r="I344" s="250">
        <v>0</v>
      </c>
      <c r="J344" s="253">
        <v>-4.9276979592764295E-2</v>
      </c>
      <c r="K344" s="253">
        <v>0</v>
      </c>
      <c r="L344" s="250">
        <v>-3.4333477456430089E-2</v>
      </c>
      <c r="M344" s="250">
        <v>-3.6476647060131873E-2</v>
      </c>
      <c r="N344" s="250">
        <v>0.11816717029533111</v>
      </c>
      <c r="O344" s="253">
        <v>-9.2269359186964318E-3</v>
      </c>
      <c r="P344" s="253">
        <v>0</v>
      </c>
      <c r="Q344" s="250">
        <v>0</v>
      </c>
      <c r="R344" s="253">
        <v>0</v>
      </c>
      <c r="S344" s="253">
        <v>0</v>
      </c>
      <c r="T344" s="253">
        <v>0</v>
      </c>
      <c r="U344" s="253">
        <v>-3.2939103424523213E-2</v>
      </c>
      <c r="V344" s="247"/>
    </row>
    <row r="345" spans="1:22">
      <c r="A345" s="242"/>
      <c r="B345" s="219" t="s">
        <v>821</v>
      </c>
      <c r="C345" s="239">
        <v>0</v>
      </c>
      <c r="D345" s="240">
        <v>0</v>
      </c>
      <c r="E345" s="240">
        <v>0</v>
      </c>
      <c r="F345" s="240">
        <v>0</v>
      </c>
      <c r="G345" s="240">
        <v>0</v>
      </c>
      <c r="H345" s="240">
        <v>0</v>
      </c>
      <c r="I345" s="240">
        <v>0</v>
      </c>
      <c r="J345" s="241">
        <v>0</v>
      </c>
      <c r="K345" s="241">
        <v>0</v>
      </c>
      <c r="L345" s="240">
        <v>0</v>
      </c>
      <c r="M345" s="240">
        <v>0</v>
      </c>
      <c r="N345" s="240">
        <v>0</v>
      </c>
      <c r="O345" s="241">
        <v>0</v>
      </c>
      <c r="P345" s="241">
        <v>0</v>
      </c>
      <c r="Q345" s="240">
        <v>0</v>
      </c>
      <c r="R345" s="241">
        <v>0</v>
      </c>
      <c r="S345" s="241">
        <v>0</v>
      </c>
      <c r="T345" s="241">
        <v>0</v>
      </c>
      <c r="U345" s="241">
        <v>0</v>
      </c>
      <c r="V345" s="247"/>
    </row>
    <row r="346" spans="1:22">
      <c r="A346" s="242"/>
      <c r="B346" s="243" t="s">
        <v>822</v>
      </c>
      <c r="C346" s="244">
        <v>0</v>
      </c>
      <c r="D346" s="245">
        <v>0</v>
      </c>
      <c r="E346" s="245">
        <v>0</v>
      </c>
      <c r="F346" s="245">
        <v>0</v>
      </c>
      <c r="G346" s="245">
        <v>0</v>
      </c>
      <c r="H346" s="245">
        <v>0</v>
      </c>
      <c r="I346" s="245">
        <v>0</v>
      </c>
      <c r="J346" s="246">
        <v>0</v>
      </c>
      <c r="K346" s="246">
        <v>0</v>
      </c>
      <c r="L346" s="245">
        <v>0</v>
      </c>
      <c r="M346" s="245">
        <v>0</v>
      </c>
      <c r="N346" s="245">
        <v>0</v>
      </c>
      <c r="O346" s="246">
        <v>0</v>
      </c>
      <c r="P346" s="246">
        <v>0</v>
      </c>
      <c r="Q346" s="245">
        <v>0</v>
      </c>
      <c r="R346" s="246">
        <v>0</v>
      </c>
      <c r="S346" s="246">
        <v>0</v>
      </c>
      <c r="T346" s="246">
        <v>0</v>
      </c>
      <c r="U346" s="246">
        <v>0</v>
      </c>
      <c r="V346" s="247"/>
    </row>
    <row r="347" spans="1:22" ht="15.75" thickBot="1">
      <c r="A347" s="242"/>
      <c r="B347" s="257" t="s">
        <v>823</v>
      </c>
      <c r="C347" s="258">
        <v>0</v>
      </c>
      <c r="D347" s="259">
        <v>0</v>
      </c>
      <c r="E347" s="259">
        <v>0</v>
      </c>
      <c r="F347" s="259">
        <v>0</v>
      </c>
      <c r="G347" s="259">
        <v>0</v>
      </c>
      <c r="H347" s="259">
        <v>0</v>
      </c>
      <c r="I347" s="259">
        <v>0</v>
      </c>
      <c r="J347" s="260">
        <v>0</v>
      </c>
      <c r="K347" s="260">
        <v>0</v>
      </c>
      <c r="L347" s="259">
        <v>0</v>
      </c>
      <c r="M347" s="259">
        <v>0</v>
      </c>
      <c r="N347" s="259">
        <v>0</v>
      </c>
      <c r="O347" s="260">
        <v>0</v>
      </c>
      <c r="P347" s="260">
        <v>0</v>
      </c>
      <c r="Q347" s="259">
        <v>0</v>
      </c>
      <c r="R347" s="260">
        <v>0</v>
      </c>
      <c r="S347" s="260">
        <v>0</v>
      </c>
      <c r="T347" s="260">
        <v>0</v>
      </c>
      <c r="U347" s="260">
        <v>0</v>
      </c>
      <c r="V347" s="247"/>
    </row>
    <row r="348" spans="1:22" ht="15.75" thickTop="1">
      <c r="A348" s="242"/>
      <c r="B348" s="243" t="s">
        <v>824</v>
      </c>
      <c r="C348" s="244">
        <v>0.79337477178948701</v>
      </c>
      <c r="D348" s="245">
        <v>0.42564528320590822</v>
      </c>
      <c r="E348" s="245">
        <v>0.63654139701522661</v>
      </c>
      <c r="F348" s="245">
        <v>0.45270216332721319</v>
      </c>
      <c r="G348" s="245">
        <v>0.55979978925184404</v>
      </c>
      <c r="H348" s="245">
        <v>0.89815817984832069</v>
      </c>
      <c r="I348" s="245">
        <v>0</v>
      </c>
      <c r="J348" s="246">
        <v>0.70791581026612926</v>
      </c>
      <c r="K348" s="246">
        <v>0</v>
      </c>
      <c r="L348" s="245">
        <v>0</v>
      </c>
      <c r="M348" s="245">
        <v>0</v>
      </c>
      <c r="N348" s="245">
        <v>0</v>
      </c>
      <c r="O348" s="246">
        <v>0</v>
      </c>
      <c r="P348" s="246">
        <v>0</v>
      </c>
      <c r="Q348" s="245">
        <v>0</v>
      </c>
      <c r="R348" s="246">
        <v>0</v>
      </c>
      <c r="S348" s="246">
        <v>0</v>
      </c>
      <c r="T348" s="246">
        <v>0</v>
      </c>
      <c r="U348" s="246">
        <v>0.70791581026612926</v>
      </c>
      <c r="V348" s="247"/>
    </row>
    <row r="349" spans="1:22">
      <c r="A349" s="242"/>
      <c r="B349" s="243" t="s">
        <v>825</v>
      </c>
      <c r="C349" s="244">
        <v>0.79251229486980379</v>
      </c>
      <c r="D349" s="245">
        <v>0.41334710396426039</v>
      </c>
      <c r="E349" s="245">
        <v>0.59443927945241382</v>
      </c>
      <c r="F349" s="245">
        <v>0.39608801955990219</v>
      </c>
      <c r="G349" s="245">
        <v>0.51090674841174644</v>
      </c>
      <c r="H349" s="245">
        <v>0.88246816846229192</v>
      </c>
      <c r="I349" s="245">
        <v>0</v>
      </c>
      <c r="J349" s="246">
        <v>0.69375290802536582</v>
      </c>
      <c r="K349" s="246">
        <v>0</v>
      </c>
      <c r="L349" s="245">
        <v>0</v>
      </c>
      <c r="M349" s="245">
        <v>0</v>
      </c>
      <c r="N349" s="245">
        <v>0</v>
      </c>
      <c r="O349" s="246">
        <v>0</v>
      </c>
      <c r="P349" s="246">
        <v>0</v>
      </c>
      <c r="Q349" s="245">
        <v>0</v>
      </c>
      <c r="R349" s="246">
        <v>0</v>
      </c>
      <c r="S349" s="246">
        <v>0</v>
      </c>
      <c r="T349" s="246">
        <v>0</v>
      </c>
      <c r="U349" s="246">
        <v>0.69375290802536582</v>
      </c>
      <c r="V349" s="247"/>
    </row>
    <row r="350" spans="1:22">
      <c r="A350" s="242"/>
      <c r="B350" s="248" t="s">
        <v>826</v>
      </c>
      <c r="C350" s="249">
        <v>-8.6247691968321938E-2</v>
      </c>
      <c r="D350" s="250">
        <v>-1.2298179241647833</v>
      </c>
      <c r="E350" s="250">
        <v>-4.2102117562812786</v>
      </c>
      <c r="F350" s="250">
        <v>-5.6614143767311003</v>
      </c>
      <c r="G350" s="250">
        <v>-4.8893040840097601</v>
      </c>
      <c r="H350" s="250">
        <v>-1.5690011386028768</v>
      </c>
      <c r="I350" s="250">
        <v>0</v>
      </c>
      <c r="J350" s="253">
        <v>-1.4162902240763442</v>
      </c>
      <c r="K350" s="253">
        <v>0</v>
      </c>
      <c r="L350" s="250">
        <v>0</v>
      </c>
      <c r="M350" s="250">
        <v>0</v>
      </c>
      <c r="N350" s="250">
        <v>0</v>
      </c>
      <c r="O350" s="253">
        <v>0</v>
      </c>
      <c r="P350" s="253">
        <v>0</v>
      </c>
      <c r="Q350" s="250">
        <v>0</v>
      </c>
      <c r="R350" s="253">
        <v>0</v>
      </c>
      <c r="S350" s="253">
        <v>0</v>
      </c>
      <c r="T350" s="253">
        <v>0</v>
      </c>
      <c r="U350" s="253">
        <v>-1.4162902240763442</v>
      </c>
      <c r="V350" s="247"/>
    </row>
    <row r="351" spans="1:22">
      <c r="A351" s="242"/>
      <c r="B351" s="219" t="s">
        <v>827</v>
      </c>
      <c r="C351" s="239">
        <v>1.4510495045325511E-2</v>
      </c>
      <c r="D351" s="240">
        <v>5.3506152340119705E-2</v>
      </c>
      <c r="E351" s="240">
        <v>6.1209299978554038E-2</v>
      </c>
      <c r="F351" s="240">
        <v>0.12117825496926639</v>
      </c>
      <c r="G351" s="240">
        <v>2.5553213909378293E-2</v>
      </c>
      <c r="H351" s="240">
        <v>0</v>
      </c>
      <c r="I351" s="240">
        <v>0</v>
      </c>
      <c r="J351" s="241">
        <v>3.0692950377706002E-2</v>
      </c>
      <c r="K351" s="241">
        <v>0</v>
      </c>
      <c r="L351" s="240">
        <v>0</v>
      </c>
      <c r="M351" s="240">
        <v>0</v>
      </c>
      <c r="N351" s="240">
        <v>0</v>
      </c>
      <c r="O351" s="241">
        <v>0</v>
      </c>
      <c r="P351" s="241">
        <v>0</v>
      </c>
      <c r="Q351" s="240">
        <v>0</v>
      </c>
      <c r="R351" s="241">
        <v>0</v>
      </c>
      <c r="S351" s="241">
        <v>0</v>
      </c>
      <c r="T351" s="241">
        <v>0</v>
      </c>
      <c r="U351" s="241">
        <v>3.0692950377706002E-2</v>
      </c>
      <c r="V351" s="247"/>
    </row>
    <row r="352" spans="1:22">
      <c r="A352" s="242"/>
      <c r="B352" s="243" t="s">
        <v>828</v>
      </c>
      <c r="C352" s="244">
        <v>1.7572086762954912E-2</v>
      </c>
      <c r="D352" s="245">
        <v>4.6307749582677825E-2</v>
      </c>
      <c r="E352" s="245">
        <v>5.9095134993479632E-2</v>
      </c>
      <c r="F352" s="245">
        <v>8.5045926121720739E-2</v>
      </c>
      <c r="G352" s="245">
        <v>5.3622995246345909E-2</v>
      </c>
      <c r="H352" s="245">
        <v>0</v>
      </c>
      <c r="I352" s="245">
        <v>0</v>
      </c>
      <c r="J352" s="246">
        <v>3.1768706771712819E-2</v>
      </c>
      <c r="K352" s="246">
        <v>0</v>
      </c>
      <c r="L352" s="245">
        <v>0</v>
      </c>
      <c r="M352" s="245">
        <v>0</v>
      </c>
      <c r="N352" s="245">
        <v>0</v>
      </c>
      <c r="O352" s="246">
        <v>0</v>
      </c>
      <c r="P352" s="246">
        <v>0</v>
      </c>
      <c r="Q352" s="245">
        <v>0</v>
      </c>
      <c r="R352" s="246">
        <v>0</v>
      </c>
      <c r="S352" s="246">
        <v>0</v>
      </c>
      <c r="T352" s="246">
        <v>0</v>
      </c>
      <c r="U352" s="246">
        <v>3.1768706771712819E-2</v>
      </c>
      <c r="V352" s="247"/>
    </row>
    <row r="353" spans="1:22">
      <c r="A353" s="242"/>
      <c r="B353" s="248" t="s">
        <v>829</v>
      </c>
      <c r="C353" s="249">
        <v>0.30615917176294011</v>
      </c>
      <c r="D353" s="250">
        <v>-0.71984027574418796</v>
      </c>
      <c r="E353" s="250">
        <v>-0.21141649850744057</v>
      </c>
      <c r="F353" s="252">
        <v>-3.6132328847545652</v>
      </c>
      <c r="G353" s="250">
        <v>2.8069781336967616</v>
      </c>
      <c r="H353" s="250">
        <v>0</v>
      </c>
      <c r="I353" s="250">
        <v>0</v>
      </c>
      <c r="J353" s="253">
        <v>0.10757563940068174</v>
      </c>
      <c r="K353" s="253">
        <v>0</v>
      </c>
      <c r="L353" s="250">
        <v>0</v>
      </c>
      <c r="M353" s="250">
        <v>0</v>
      </c>
      <c r="N353" s="250">
        <v>0</v>
      </c>
      <c r="O353" s="253">
        <v>0</v>
      </c>
      <c r="P353" s="253">
        <v>0</v>
      </c>
      <c r="Q353" s="250">
        <v>0</v>
      </c>
      <c r="R353" s="253">
        <v>0</v>
      </c>
      <c r="S353" s="253">
        <v>0</v>
      </c>
      <c r="T353" s="253">
        <v>0</v>
      </c>
      <c r="U353" s="253">
        <v>0.10757563940068174</v>
      </c>
      <c r="V353" s="247"/>
    </row>
    <row r="354" spans="1:22">
      <c r="A354" s="242"/>
      <c r="B354" s="219" t="s">
        <v>830</v>
      </c>
      <c r="C354" s="239">
        <v>0.18873141337498286</v>
      </c>
      <c r="D354" s="240">
        <v>0.52082378161361076</v>
      </c>
      <c r="E354" s="240">
        <v>0.30032547401884724</v>
      </c>
      <c r="F354" s="240">
        <v>0.42611958170352038</v>
      </c>
      <c r="G354" s="240">
        <v>0.34466104671584125</v>
      </c>
      <c r="H354" s="240">
        <v>0.10184182015167931</v>
      </c>
      <c r="I354" s="240">
        <v>0</v>
      </c>
      <c r="J354" s="241">
        <v>0.25671462509676213</v>
      </c>
      <c r="K354" s="241">
        <v>0</v>
      </c>
      <c r="L354" s="240">
        <v>0</v>
      </c>
      <c r="M354" s="240">
        <v>0</v>
      </c>
      <c r="N354" s="240">
        <v>0</v>
      </c>
      <c r="O354" s="241">
        <v>0</v>
      </c>
      <c r="P354" s="241">
        <v>0</v>
      </c>
      <c r="Q354" s="240">
        <v>0</v>
      </c>
      <c r="R354" s="241">
        <v>0</v>
      </c>
      <c r="S354" s="241">
        <v>0</v>
      </c>
      <c r="T354" s="241">
        <v>0</v>
      </c>
      <c r="U354" s="241">
        <v>0.25671462509676213</v>
      </c>
      <c r="V354" s="247"/>
    </row>
    <row r="355" spans="1:22">
      <c r="A355" s="242"/>
      <c r="B355" s="243" t="s">
        <v>831</v>
      </c>
      <c r="C355" s="244">
        <v>0.1837904436506704</v>
      </c>
      <c r="D355" s="245">
        <v>0.53881996901608042</v>
      </c>
      <c r="E355" s="245">
        <v>0.34549220987477147</v>
      </c>
      <c r="F355" s="245">
        <v>0.51886605431837707</v>
      </c>
      <c r="G355" s="245">
        <v>0.35914523079657024</v>
      </c>
      <c r="H355" s="245">
        <v>0.11753183153770813</v>
      </c>
      <c r="I355" s="245">
        <v>0</v>
      </c>
      <c r="J355" s="246">
        <v>0.26799708282579032</v>
      </c>
      <c r="K355" s="246">
        <v>0</v>
      </c>
      <c r="L355" s="245">
        <v>0</v>
      </c>
      <c r="M355" s="245">
        <v>0</v>
      </c>
      <c r="N355" s="245">
        <v>0</v>
      </c>
      <c r="O355" s="246">
        <v>0</v>
      </c>
      <c r="P355" s="246">
        <v>0</v>
      </c>
      <c r="Q355" s="245">
        <v>0</v>
      </c>
      <c r="R355" s="246">
        <v>0</v>
      </c>
      <c r="S355" s="246">
        <v>0</v>
      </c>
      <c r="T355" s="246">
        <v>0</v>
      </c>
      <c r="U355" s="246">
        <v>0.26799708282579032</v>
      </c>
      <c r="V355" s="247"/>
    </row>
    <row r="356" spans="1:22">
      <c r="A356" s="242"/>
      <c r="B356" s="248" t="s">
        <v>832</v>
      </c>
      <c r="C356" s="249">
        <v>-0.49409697243124606</v>
      </c>
      <c r="D356" s="250">
        <v>1.7996187402469666</v>
      </c>
      <c r="E356" s="250">
        <v>4.5166735855924234</v>
      </c>
      <c r="F356" s="252">
        <v>9.2746472614856685</v>
      </c>
      <c r="G356" s="250">
        <v>1.448418408072899</v>
      </c>
      <c r="H356" s="250">
        <v>1.5690011386028824</v>
      </c>
      <c r="I356" s="250">
        <v>0</v>
      </c>
      <c r="J356" s="253">
        <v>1.1282457729028195</v>
      </c>
      <c r="K356" s="253">
        <v>0</v>
      </c>
      <c r="L356" s="250">
        <v>0</v>
      </c>
      <c r="M356" s="250">
        <v>0</v>
      </c>
      <c r="N356" s="250">
        <v>0</v>
      </c>
      <c r="O356" s="253">
        <v>0</v>
      </c>
      <c r="P356" s="253">
        <v>0</v>
      </c>
      <c r="Q356" s="250">
        <v>0</v>
      </c>
      <c r="R356" s="253">
        <v>0</v>
      </c>
      <c r="S356" s="253">
        <v>0</v>
      </c>
      <c r="T356" s="253">
        <v>0</v>
      </c>
      <c r="U356" s="253">
        <v>1.1282457729028195</v>
      </c>
      <c r="V356" s="247"/>
    </row>
    <row r="357" spans="1:22">
      <c r="A357" s="242"/>
      <c r="B357" s="219" t="s">
        <v>833</v>
      </c>
      <c r="C357" s="239">
        <v>2.2372545088065514E-4</v>
      </c>
      <c r="D357" s="240">
        <v>2.4782840361333812E-5</v>
      </c>
      <c r="E357" s="240">
        <v>1.9238289873721127E-3</v>
      </c>
      <c r="F357" s="240">
        <v>0</v>
      </c>
      <c r="G357" s="240">
        <v>7.9030558482613277E-4</v>
      </c>
      <c r="H357" s="240">
        <v>0</v>
      </c>
      <c r="I357" s="240">
        <v>0</v>
      </c>
      <c r="J357" s="241">
        <v>5.7523423110802658E-4</v>
      </c>
      <c r="K357" s="241">
        <v>0</v>
      </c>
      <c r="L357" s="240">
        <v>0</v>
      </c>
      <c r="M357" s="240">
        <v>0</v>
      </c>
      <c r="N357" s="240">
        <v>0</v>
      </c>
      <c r="O357" s="241">
        <v>0</v>
      </c>
      <c r="P357" s="241">
        <v>0</v>
      </c>
      <c r="Q357" s="240">
        <v>0</v>
      </c>
      <c r="R357" s="241">
        <v>0</v>
      </c>
      <c r="S357" s="241">
        <v>0</v>
      </c>
      <c r="T357" s="241">
        <v>0</v>
      </c>
      <c r="U357" s="241">
        <v>5.7523423110802658E-4</v>
      </c>
      <c r="V357" s="247"/>
    </row>
    <row r="358" spans="1:22">
      <c r="A358" s="242"/>
      <c r="B358" s="243" t="s">
        <v>834</v>
      </c>
      <c r="C358" s="244">
        <v>2.4434435989025211E-4</v>
      </c>
      <c r="D358" s="245">
        <v>1.5251774369813495E-3</v>
      </c>
      <c r="E358" s="245">
        <v>9.733756793351095E-4</v>
      </c>
      <c r="F358" s="245">
        <v>0</v>
      </c>
      <c r="G358" s="245">
        <v>4.1316806610689058E-3</v>
      </c>
      <c r="H358" s="245">
        <v>0</v>
      </c>
      <c r="I358" s="245">
        <v>0</v>
      </c>
      <c r="J358" s="246">
        <v>6.4564698009734372E-4</v>
      </c>
      <c r="K358" s="246">
        <v>0</v>
      </c>
      <c r="L358" s="245">
        <v>0</v>
      </c>
      <c r="M358" s="245">
        <v>0</v>
      </c>
      <c r="N358" s="245">
        <v>0</v>
      </c>
      <c r="O358" s="246">
        <v>0</v>
      </c>
      <c r="P358" s="246">
        <v>0</v>
      </c>
      <c r="Q358" s="245">
        <v>0</v>
      </c>
      <c r="R358" s="246">
        <v>0</v>
      </c>
      <c r="S358" s="246">
        <v>0</v>
      </c>
      <c r="T358" s="246">
        <v>0</v>
      </c>
      <c r="U358" s="246">
        <v>6.4564698009734372E-4</v>
      </c>
      <c r="V358" s="247"/>
    </row>
    <row r="359" spans="1:22">
      <c r="A359" s="242"/>
      <c r="B359" s="248" t="s">
        <v>835</v>
      </c>
      <c r="C359" s="249">
        <v>2.0618909009596977E-3</v>
      </c>
      <c r="D359" s="250">
        <v>0.15003945966200158</v>
      </c>
      <c r="E359" s="250">
        <v>-9.5045330803700326E-2</v>
      </c>
      <c r="F359" s="250">
        <v>0</v>
      </c>
      <c r="G359" s="250">
        <v>0.3341375076242773</v>
      </c>
      <c r="H359" s="250">
        <v>0</v>
      </c>
      <c r="I359" s="250">
        <v>0</v>
      </c>
      <c r="J359" s="253">
        <v>7.0412748989317131E-3</v>
      </c>
      <c r="K359" s="253">
        <v>0</v>
      </c>
      <c r="L359" s="250">
        <v>0</v>
      </c>
      <c r="M359" s="250">
        <v>0</v>
      </c>
      <c r="N359" s="250">
        <v>0</v>
      </c>
      <c r="O359" s="253">
        <v>0</v>
      </c>
      <c r="P359" s="253">
        <v>0</v>
      </c>
      <c r="Q359" s="250">
        <v>0</v>
      </c>
      <c r="R359" s="253">
        <v>0</v>
      </c>
      <c r="S359" s="253">
        <v>0</v>
      </c>
      <c r="T359" s="253">
        <v>0</v>
      </c>
      <c r="U359" s="253">
        <v>7.0412748989317131E-3</v>
      </c>
      <c r="V359" s="247"/>
    </row>
    <row r="360" spans="1:22">
      <c r="A360" s="242"/>
      <c r="B360" s="219" t="s">
        <v>836</v>
      </c>
      <c r="C360" s="239">
        <v>3.159594339323969E-3</v>
      </c>
      <c r="D360" s="240">
        <v>0</v>
      </c>
      <c r="E360" s="240">
        <v>0</v>
      </c>
      <c r="F360" s="240">
        <v>0</v>
      </c>
      <c r="G360" s="240">
        <v>6.9195644538110293E-2</v>
      </c>
      <c r="H360" s="240">
        <v>0</v>
      </c>
      <c r="I360" s="240">
        <v>0</v>
      </c>
      <c r="J360" s="241">
        <v>4.1013800282945836E-3</v>
      </c>
      <c r="K360" s="241">
        <v>0</v>
      </c>
      <c r="L360" s="240">
        <v>0</v>
      </c>
      <c r="M360" s="240">
        <v>0</v>
      </c>
      <c r="N360" s="240">
        <v>0</v>
      </c>
      <c r="O360" s="241">
        <v>0</v>
      </c>
      <c r="P360" s="241">
        <v>0</v>
      </c>
      <c r="Q360" s="240">
        <v>0</v>
      </c>
      <c r="R360" s="241">
        <v>0</v>
      </c>
      <c r="S360" s="241">
        <v>0</v>
      </c>
      <c r="T360" s="241">
        <v>0</v>
      </c>
      <c r="U360" s="241">
        <v>4.1013800282945836E-3</v>
      </c>
      <c r="V360" s="247"/>
    </row>
    <row r="361" spans="1:22">
      <c r="A361" s="242"/>
      <c r="B361" s="243" t="s">
        <v>837</v>
      </c>
      <c r="C361" s="244">
        <v>5.8808303566806443E-3</v>
      </c>
      <c r="D361" s="245">
        <v>0</v>
      </c>
      <c r="E361" s="245">
        <v>0</v>
      </c>
      <c r="F361" s="245">
        <v>0</v>
      </c>
      <c r="G361" s="245">
        <v>7.2193344884268512E-2</v>
      </c>
      <c r="H361" s="245">
        <v>0</v>
      </c>
      <c r="I361" s="245">
        <v>0</v>
      </c>
      <c r="J361" s="246">
        <v>5.8356553970336832E-3</v>
      </c>
      <c r="K361" s="246">
        <v>0</v>
      </c>
      <c r="L361" s="245">
        <v>0</v>
      </c>
      <c r="M361" s="245">
        <v>0</v>
      </c>
      <c r="N361" s="245">
        <v>0</v>
      </c>
      <c r="O361" s="246">
        <v>0</v>
      </c>
      <c r="P361" s="246">
        <v>0</v>
      </c>
      <c r="Q361" s="245">
        <v>0</v>
      </c>
      <c r="R361" s="246">
        <v>0</v>
      </c>
      <c r="S361" s="246">
        <v>0</v>
      </c>
      <c r="T361" s="246">
        <v>0</v>
      </c>
      <c r="U361" s="246">
        <v>5.8356553970336832E-3</v>
      </c>
      <c r="V361" s="247"/>
    </row>
    <row r="362" spans="1:22">
      <c r="A362" s="242"/>
      <c r="B362" s="248" t="s">
        <v>838</v>
      </c>
      <c r="C362" s="249">
        <v>0.27212360173566752</v>
      </c>
      <c r="D362" s="250">
        <v>0</v>
      </c>
      <c r="E362" s="250">
        <v>0</v>
      </c>
      <c r="F362" s="250">
        <v>0</v>
      </c>
      <c r="G362" s="250">
        <v>0.29977003461582191</v>
      </c>
      <c r="H362" s="250">
        <v>0</v>
      </c>
      <c r="I362" s="250">
        <v>0</v>
      </c>
      <c r="J362" s="253">
        <v>0.17342753687390997</v>
      </c>
      <c r="K362" s="253">
        <v>0</v>
      </c>
      <c r="L362" s="250">
        <v>0</v>
      </c>
      <c r="M362" s="250">
        <v>0</v>
      </c>
      <c r="N362" s="250">
        <v>0</v>
      </c>
      <c r="O362" s="253">
        <v>0</v>
      </c>
      <c r="P362" s="253">
        <v>0</v>
      </c>
      <c r="Q362" s="250">
        <v>0</v>
      </c>
      <c r="R362" s="253">
        <v>0</v>
      </c>
      <c r="S362" s="253">
        <v>0</v>
      </c>
      <c r="T362" s="253">
        <v>0</v>
      </c>
      <c r="U362" s="253">
        <v>0.17342753687390997</v>
      </c>
      <c r="V362" s="247"/>
    </row>
    <row r="363" spans="1:22">
      <c r="A363" s="242"/>
      <c r="B363" s="219" t="s">
        <v>839</v>
      </c>
      <c r="C363" s="239">
        <v>0</v>
      </c>
      <c r="D363" s="240">
        <v>0</v>
      </c>
      <c r="E363" s="240">
        <v>0</v>
      </c>
      <c r="F363" s="240">
        <v>0</v>
      </c>
      <c r="G363" s="240">
        <v>0</v>
      </c>
      <c r="H363" s="240">
        <v>0</v>
      </c>
      <c r="I363" s="240">
        <v>0</v>
      </c>
      <c r="J363" s="241">
        <v>0</v>
      </c>
      <c r="K363" s="241">
        <v>0</v>
      </c>
      <c r="L363" s="240">
        <v>0</v>
      </c>
      <c r="M363" s="240">
        <v>0</v>
      </c>
      <c r="N363" s="240">
        <v>0</v>
      </c>
      <c r="O363" s="241">
        <v>0</v>
      </c>
      <c r="P363" s="241">
        <v>0</v>
      </c>
      <c r="Q363" s="240">
        <v>0</v>
      </c>
      <c r="R363" s="241">
        <v>0</v>
      </c>
      <c r="S363" s="241">
        <v>0</v>
      </c>
      <c r="T363" s="241">
        <v>0</v>
      </c>
      <c r="U363" s="241">
        <v>0</v>
      </c>
      <c r="V363" s="247"/>
    </row>
    <row r="364" spans="1:22">
      <c r="A364" s="242"/>
      <c r="B364" s="243" t="s">
        <v>840</v>
      </c>
      <c r="C364" s="244">
        <v>0</v>
      </c>
      <c r="D364" s="245">
        <v>0</v>
      </c>
      <c r="E364" s="245">
        <v>0</v>
      </c>
      <c r="F364" s="245">
        <v>0</v>
      </c>
      <c r="G364" s="245">
        <v>0</v>
      </c>
      <c r="H364" s="245">
        <v>0</v>
      </c>
      <c r="I364" s="245">
        <v>0</v>
      </c>
      <c r="J364" s="246">
        <v>0</v>
      </c>
      <c r="K364" s="246">
        <v>0</v>
      </c>
      <c r="L364" s="245">
        <v>0</v>
      </c>
      <c r="M364" s="245">
        <v>0</v>
      </c>
      <c r="N364" s="245">
        <v>0</v>
      </c>
      <c r="O364" s="246">
        <v>0</v>
      </c>
      <c r="P364" s="246">
        <v>0</v>
      </c>
      <c r="Q364" s="245">
        <v>0</v>
      </c>
      <c r="R364" s="246">
        <v>0</v>
      </c>
      <c r="S364" s="246">
        <v>0</v>
      </c>
      <c r="T364" s="246">
        <v>0</v>
      </c>
      <c r="U364" s="246">
        <v>0</v>
      </c>
      <c r="V364" s="247"/>
    </row>
    <row r="365" spans="1:22" ht="15.75" thickBot="1">
      <c r="A365" s="261"/>
      <c r="B365" s="262" t="s">
        <v>841</v>
      </c>
      <c r="C365" s="263">
        <v>0</v>
      </c>
      <c r="D365" s="264">
        <v>0</v>
      </c>
      <c r="E365" s="264">
        <v>0</v>
      </c>
      <c r="F365" s="264">
        <v>0</v>
      </c>
      <c r="G365" s="264">
        <v>0</v>
      </c>
      <c r="H365" s="264">
        <v>0</v>
      </c>
      <c r="I365" s="264">
        <v>0</v>
      </c>
      <c r="J365" s="265">
        <v>0</v>
      </c>
      <c r="K365" s="265">
        <v>0</v>
      </c>
      <c r="L365" s="264">
        <v>0</v>
      </c>
      <c r="M365" s="264">
        <v>0</v>
      </c>
      <c r="N365" s="264">
        <v>0</v>
      </c>
      <c r="O365" s="265">
        <v>0</v>
      </c>
      <c r="P365" s="265">
        <v>0</v>
      </c>
      <c r="Q365" s="264">
        <v>0</v>
      </c>
      <c r="R365" s="265">
        <v>0</v>
      </c>
      <c r="S365" s="265">
        <v>0</v>
      </c>
      <c r="T365" s="265">
        <v>0</v>
      </c>
      <c r="U365" s="265">
        <v>0</v>
      </c>
      <c r="V365" s="247"/>
    </row>
    <row r="366" spans="1:22">
      <c r="A366" s="238" t="s">
        <v>459</v>
      </c>
      <c r="B366" s="219" t="s">
        <v>806</v>
      </c>
      <c r="C366" s="239">
        <v>0.86299528541815018</v>
      </c>
      <c r="D366" s="240">
        <v>0</v>
      </c>
      <c r="E366" s="240">
        <v>0.7668223072696686</v>
      </c>
      <c r="F366" s="240">
        <v>0.72253117133992861</v>
      </c>
      <c r="G366" s="240">
        <v>0.78959084293846371</v>
      </c>
      <c r="H366" s="240">
        <v>0.7699221716682576</v>
      </c>
      <c r="I366" s="240">
        <v>0</v>
      </c>
      <c r="J366" s="241">
        <v>0.81430963568845016</v>
      </c>
      <c r="K366" s="241">
        <v>0.66444025263660844</v>
      </c>
      <c r="L366" s="240">
        <v>0.65693007215073773</v>
      </c>
      <c r="M366" s="240">
        <v>0.70669898931640296</v>
      </c>
      <c r="N366" s="240">
        <v>0.69606762650658915</v>
      </c>
      <c r="O366" s="241">
        <v>0.67644247679632208</v>
      </c>
      <c r="P366" s="241">
        <v>0</v>
      </c>
      <c r="Q366" s="240">
        <v>0</v>
      </c>
      <c r="R366" s="241">
        <v>0</v>
      </c>
      <c r="S366" s="241">
        <v>0</v>
      </c>
      <c r="T366" s="241">
        <v>0</v>
      </c>
      <c r="U366" s="241">
        <v>0.76524623224948385</v>
      </c>
      <c r="V366" s="247"/>
    </row>
    <row r="367" spans="1:22">
      <c r="A367" s="242"/>
      <c r="B367" s="243" t="s">
        <v>807</v>
      </c>
      <c r="C367" s="244">
        <v>0.85884534741647911</v>
      </c>
      <c r="D367" s="245">
        <v>0</v>
      </c>
      <c r="E367" s="245">
        <v>0.75337371487813543</v>
      </c>
      <c r="F367" s="245">
        <v>0.69749228507734395</v>
      </c>
      <c r="G367" s="245">
        <v>0.7498376767614634</v>
      </c>
      <c r="H367" s="245">
        <v>0.76996793601614011</v>
      </c>
      <c r="I367" s="245">
        <v>0</v>
      </c>
      <c r="J367" s="246">
        <v>0.80256365758463577</v>
      </c>
      <c r="K367" s="246">
        <v>0.64903275590089715</v>
      </c>
      <c r="L367" s="245">
        <v>0.66845915928581467</v>
      </c>
      <c r="M367" s="245">
        <v>0.70107900296925807</v>
      </c>
      <c r="N367" s="245">
        <v>0.6592815826871774</v>
      </c>
      <c r="O367" s="246">
        <v>0.66846663246601312</v>
      </c>
      <c r="P367" s="246">
        <v>0</v>
      </c>
      <c r="Q367" s="245">
        <v>0</v>
      </c>
      <c r="R367" s="246">
        <v>0</v>
      </c>
      <c r="S367" s="246">
        <v>0</v>
      </c>
      <c r="T367" s="246">
        <v>0</v>
      </c>
      <c r="U367" s="246">
        <v>0.75532241392230415</v>
      </c>
      <c r="V367" s="247"/>
    </row>
    <row r="368" spans="1:22">
      <c r="A368" s="242"/>
      <c r="B368" s="248" t="s">
        <v>808</v>
      </c>
      <c r="C368" s="249">
        <v>-0.41499380016710719</v>
      </c>
      <c r="D368" s="250">
        <v>0</v>
      </c>
      <c r="E368" s="252">
        <v>-1.3448592391533176</v>
      </c>
      <c r="F368" s="250">
        <v>-2.5038886262584659</v>
      </c>
      <c r="G368" s="250">
        <v>-3.975316617700031</v>
      </c>
      <c r="H368" s="250">
        <v>4.5764347882504275E-3</v>
      </c>
      <c r="I368" s="250">
        <v>0</v>
      </c>
      <c r="J368" s="253">
        <v>-1.1745978103814392</v>
      </c>
      <c r="K368" s="253">
        <v>-1.540749673571129</v>
      </c>
      <c r="L368" s="250">
        <v>1.1529087135076943</v>
      </c>
      <c r="M368" s="250">
        <v>-0.56199863471448896</v>
      </c>
      <c r="N368" s="250">
        <v>-3.6786043819411751</v>
      </c>
      <c r="O368" s="253">
        <v>-0.79758443303089566</v>
      </c>
      <c r="P368" s="253">
        <v>0</v>
      </c>
      <c r="Q368" s="250">
        <v>0</v>
      </c>
      <c r="R368" s="253">
        <v>0</v>
      </c>
      <c r="S368" s="253">
        <v>0</v>
      </c>
      <c r="T368" s="253">
        <v>0</v>
      </c>
      <c r="U368" s="253">
        <v>-0.99238183271797009</v>
      </c>
      <c r="V368" s="247"/>
    </row>
    <row r="369" spans="1:22">
      <c r="A369" s="242"/>
      <c r="B369" s="219" t="s">
        <v>809</v>
      </c>
      <c r="C369" s="239">
        <v>9.0564332278792389E-3</v>
      </c>
      <c r="D369" s="240">
        <v>0</v>
      </c>
      <c r="E369" s="240">
        <v>1.639040931653447E-2</v>
      </c>
      <c r="F369" s="240">
        <v>7.7269800386349004E-3</v>
      </c>
      <c r="G369" s="240">
        <v>8.9501188231898652E-3</v>
      </c>
      <c r="H369" s="240">
        <v>0</v>
      </c>
      <c r="I369" s="240">
        <v>0</v>
      </c>
      <c r="J369" s="241">
        <v>1.0004127987589406E-2</v>
      </c>
      <c r="K369" s="241">
        <v>5.2757053767401117E-3</v>
      </c>
      <c r="L369" s="240">
        <v>4.1252055683977287E-2</v>
      </c>
      <c r="M369" s="240">
        <v>7.9890415403124429E-3</v>
      </c>
      <c r="N369" s="240">
        <v>3.4030155231440228E-2</v>
      </c>
      <c r="O369" s="241">
        <v>2.8391977398491676E-2</v>
      </c>
      <c r="P369" s="241">
        <v>0</v>
      </c>
      <c r="Q369" s="240">
        <v>0</v>
      </c>
      <c r="R369" s="241">
        <v>0</v>
      </c>
      <c r="S369" s="241">
        <v>0</v>
      </c>
      <c r="T369" s="241">
        <v>0</v>
      </c>
      <c r="U369" s="241">
        <v>1.6547894329564623E-2</v>
      </c>
      <c r="V369" s="247"/>
    </row>
    <row r="370" spans="1:22">
      <c r="A370" s="242"/>
      <c r="B370" s="243" t="s">
        <v>810</v>
      </c>
      <c r="C370" s="244">
        <v>6.1418225516930445E-3</v>
      </c>
      <c r="D370" s="245">
        <v>0</v>
      </c>
      <c r="E370" s="245">
        <v>7.1765236673610247E-3</v>
      </c>
      <c r="F370" s="245">
        <v>1.5979868189207869E-2</v>
      </c>
      <c r="G370" s="245">
        <v>1.0422860579716088E-2</v>
      </c>
      <c r="H370" s="245">
        <v>2.810101956263285E-4</v>
      </c>
      <c r="I370" s="245">
        <v>0</v>
      </c>
      <c r="J370" s="246">
        <v>7.4176441164160514E-3</v>
      </c>
      <c r="K370" s="246">
        <v>4.8838379151872708E-5</v>
      </c>
      <c r="L370" s="245">
        <v>3.9027873352719629E-2</v>
      </c>
      <c r="M370" s="245">
        <v>3.7739222910814028E-3</v>
      </c>
      <c r="N370" s="245">
        <v>3.4325213792415668E-2</v>
      </c>
      <c r="O370" s="246">
        <v>2.5747461539905279E-2</v>
      </c>
      <c r="P370" s="246">
        <v>0</v>
      </c>
      <c r="Q370" s="245">
        <v>0</v>
      </c>
      <c r="R370" s="246">
        <v>0</v>
      </c>
      <c r="S370" s="246">
        <v>0</v>
      </c>
      <c r="T370" s="246">
        <v>0</v>
      </c>
      <c r="U370" s="246">
        <v>1.3875083201459937E-2</v>
      </c>
      <c r="V370" s="247"/>
    </row>
    <row r="371" spans="1:22">
      <c r="A371" s="242"/>
      <c r="B371" s="248" t="s">
        <v>811</v>
      </c>
      <c r="C371" s="249">
        <v>-0.29146106761861945</v>
      </c>
      <c r="D371" s="250">
        <v>0</v>
      </c>
      <c r="E371" s="252">
        <v>-0.92138856491734455</v>
      </c>
      <c r="F371" s="250">
        <v>0.8252888150572969</v>
      </c>
      <c r="G371" s="250">
        <v>0.14727417565262232</v>
      </c>
      <c r="H371" s="250">
        <v>0</v>
      </c>
      <c r="I371" s="250">
        <v>0</v>
      </c>
      <c r="J371" s="253">
        <v>-0.25864838711733545</v>
      </c>
      <c r="K371" s="253">
        <v>-0.52268669975882387</v>
      </c>
      <c r="L371" s="250">
        <v>-0.22241823312576584</v>
      </c>
      <c r="M371" s="250">
        <v>-0.42151192492310402</v>
      </c>
      <c r="N371" s="250">
        <v>2.9505856097544053E-2</v>
      </c>
      <c r="O371" s="253">
        <v>-0.26445158585863965</v>
      </c>
      <c r="P371" s="253">
        <v>0</v>
      </c>
      <c r="Q371" s="250">
        <v>0</v>
      </c>
      <c r="R371" s="253">
        <v>0</v>
      </c>
      <c r="S371" s="253">
        <v>0</v>
      </c>
      <c r="T371" s="253">
        <v>0</v>
      </c>
      <c r="U371" s="253">
        <v>-0.26728111281046857</v>
      </c>
      <c r="V371" s="247"/>
    </row>
    <row r="372" spans="1:22">
      <c r="A372" s="242"/>
      <c r="B372" s="219" t="s">
        <v>812</v>
      </c>
      <c r="C372" s="239">
        <v>0.12476131074380992</v>
      </c>
      <c r="D372" s="240">
        <v>0</v>
      </c>
      <c r="E372" s="240">
        <v>0.20724682283593165</v>
      </c>
      <c r="F372" s="240">
        <v>0.2482194774532186</v>
      </c>
      <c r="G372" s="240">
        <v>0.13305126898254188</v>
      </c>
      <c r="H372" s="240">
        <v>0.21503473359299335</v>
      </c>
      <c r="I372" s="240">
        <v>0</v>
      </c>
      <c r="J372" s="241">
        <v>0.15998739965078557</v>
      </c>
      <c r="K372" s="241">
        <v>0.32336092294981611</v>
      </c>
      <c r="L372" s="240">
        <v>0.30073924790794793</v>
      </c>
      <c r="M372" s="240">
        <v>0.21684863176962002</v>
      </c>
      <c r="N372" s="240">
        <v>0.23556429676874735</v>
      </c>
      <c r="O372" s="241">
        <v>0.2733925385196494</v>
      </c>
      <c r="P372" s="241">
        <v>0</v>
      </c>
      <c r="Q372" s="240">
        <v>0</v>
      </c>
      <c r="R372" s="241">
        <v>0</v>
      </c>
      <c r="S372" s="241">
        <v>0</v>
      </c>
      <c r="T372" s="241">
        <v>0</v>
      </c>
      <c r="U372" s="241">
        <v>0.2003453944414707</v>
      </c>
      <c r="V372" s="247"/>
    </row>
    <row r="373" spans="1:22">
      <c r="A373" s="242"/>
      <c r="B373" s="243" t="s">
        <v>813</v>
      </c>
      <c r="C373" s="244">
        <v>0.1333024384602621</v>
      </c>
      <c r="D373" s="245">
        <v>0</v>
      </c>
      <c r="E373" s="245">
        <v>0.22666333886899676</v>
      </c>
      <c r="F373" s="245">
        <v>0.27047983411699422</v>
      </c>
      <c r="G373" s="245">
        <v>0.17093149617600623</v>
      </c>
      <c r="H373" s="245">
        <v>0.2168750225168426</v>
      </c>
      <c r="I373" s="245">
        <v>0</v>
      </c>
      <c r="J373" s="246">
        <v>0.17559089346903636</v>
      </c>
      <c r="K373" s="246">
        <v>0.33706295755456467</v>
      </c>
      <c r="L373" s="245">
        <v>0.29033200884962301</v>
      </c>
      <c r="M373" s="245">
        <v>0.23258090169450052</v>
      </c>
      <c r="N373" s="245">
        <v>0.2672685681517864</v>
      </c>
      <c r="O373" s="246">
        <v>0.28242988344667513</v>
      </c>
      <c r="P373" s="246">
        <v>0</v>
      </c>
      <c r="Q373" s="245">
        <v>0</v>
      </c>
      <c r="R373" s="246">
        <v>0</v>
      </c>
      <c r="S373" s="246">
        <v>0</v>
      </c>
      <c r="T373" s="246">
        <v>0</v>
      </c>
      <c r="U373" s="246">
        <v>0.21322936273191717</v>
      </c>
      <c r="V373" s="247"/>
    </row>
    <row r="374" spans="1:22">
      <c r="A374" s="242"/>
      <c r="B374" s="248" t="s">
        <v>814</v>
      </c>
      <c r="C374" s="249">
        <v>0.85411277164521848</v>
      </c>
      <c r="D374" s="250">
        <v>0</v>
      </c>
      <c r="E374" s="250">
        <v>1.9416516033065101</v>
      </c>
      <c r="F374" s="250">
        <v>2.2260356663775624</v>
      </c>
      <c r="G374" s="250">
        <v>3.7880227193464346</v>
      </c>
      <c r="H374" s="250">
        <v>0.18402889238492426</v>
      </c>
      <c r="I374" s="250">
        <v>0</v>
      </c>
      <c r="J374" s="253">
        <v>1.5603493818250795</v>
      </c>
      <c r="K374" s="253">
        <v>1.3702034604748559</v>
      </c>
      <c r="L374" s="250">
        <v>-1.0407239058324913</v>
      </c>
      <c r="M374" s="250">
        <v>1.57322699248805</v>
      </c>
      <c r="N374" s="250">
        <v>3.1704271383039053</v>
      </c>
      <c r="O374" s="253">
        <v>0.90373449270257367</v>
      </c>
      <c r="P374" s="253">
        <v>0</v>
      </c>
      <c r="Q374" s="250">
        <v>0</v>
      </c>
      <c r="R374" s="253">
        <v>0</v>
      </c>
      <c r="S374" s="253">
        <v>0</v>
      </c>
      <c r="T374" s="253">
        <v>0</v>
      </c>
      <c r="U374" s="253">
        <v>1.2883968290446468</v>
      </c>
      <c r="V374" s="247"/>
    </row>
    <row r="375" spans="1:22">
      <c r="A375" s="242"/>
      <c r="B375" s="219" t="s">
        <v>815</v>
      </c>
      <c r="C375" s="239">
        <v>1.3758507343707526E-4</v>
      </c>
      <c r="D375" s="240">
        <v>0</v>
      </c>
      <c r="E375" s="240">
        <v>1.7766818531112702E-3</v>
      </c>
      <c r="F375" s="240">
        <v>2.1522371168217917E-2</v>
      </c>
      <c r="G375" s="240">
        <v>5.2804165873488615E-2</v>
      </c>
      <c r="H375" s="240">
        <v>1.4632005072428424E-2</v>
      </c>
      <c r="I375" s="240">
        <v>0</v>
      </c>
      <c r="J375" s="241">
        <v>1.0326627018011675E-2</v>
      </c>
      <c r="K375" s="241">
        <v>3.3445981256314673E-3</v>
      </c>
      <c r="L375" s="240">
        <v>0</v>
      </c>
      <c r="M375" s="240">
        <v>6.1983787607748426E-2</v>
      </c>
      <c r="N375" s="240">
        <v>3.4041879660460538E-2</v>
      </c>
      <c r="O375" s="241">
        <v>1.9614385489482179E-2</v>
      </c>
      <c r="P375" s="241">
        <v>0</v>
      </c>
      <c r="Q375" s="240">
        <v>0</v>
      </c>
      <c r="R375" s="241">
        <v>0</v>
      </c>
      <c r="S375" s="241">
        <v>0</v>
      </c>
      <c r="T375" s="241">
        <v>0</v>
      </c>
      <c r="U375" s="241">
        <v>1.3631903231660067E-2</v>
      </c>
      <c r="V375" s="247"/>
    </row>
    <row r="376" spans="1:22">
      <c r="A376" s="242"/>
      <c r="B376" s="243" t="s">
        <v>816</v>
      </c>
      <c r="C376" s="244">
        <v>8.2963628410098438E-5</v>
      </c>
      <c r="D376" s="245">
        <v>0</v>
      </c>
      <c r="E376" s="245">
        <v>4.5078859205360316E-3</v>
      </c>
      <c r="F376" s="245">
        <v>1.6048012616453958E-2</v>
      </c>
      <c r="G376" s="245">
        <v>5.7534190400032804E-2</v>
      </c>
      <c r="H376" s="245">
        <v>1.2429297114241452E-2</v>
      </c>
      <c r="I376" s="245">
        <v>0</v>
      </c>
      <c r="J376" s="246">
        <v>1.0338083620017898E-2</v>
      </c>
      <c r="K376" s="246">
        <v>0</v>
      </c>
      <c r="L376" s="245">
        <v>0</v>
      </c>
      <c r="M376" s="245">
        <v>6.2566173045160017E-2</v>
      </c>
      <c r="N376" s="245">
        <v>3.8657159241068093E-2</v>
      </c>
      <c r="O376" s="246">
        <v>2.0098097484375098E-2</v>
      </c>
      <c r="P376" s="246">
        <v>0</v>
      </c>
      <c r="Q376" s="245">
        <v>0</v>
      </c>
      <c r="R376" s="246">
        <v>0</v>
      </c>
      <c r="S376" s="246">
        <v>0</v>
      </c>
      <c r="T376" s="246">
        <v>0</v>
      </c>
      <c r="U376" s="246">
        <v>1.3776453656235811E-2</v>
      </c>
      <c r="V376" s="247"/>
    </row>
    <row r="377" spans="1:22">
      <c r="A377" s="242"/>
      <c r="B377" s="248" t="s">
        <v>817</v>
      </c>
      <c r="C377" s="249">
        <v>-5.4621445026976825E-3</v>
      </c>
      <c r="D377" s="250">
        <v>0</v>
      </c>
      <c r="E377" s="250">
        <v>0.27312040674247612</v>
      </c>
      <c r="F377" s="250">
        <v>-0.54743585517639592</v>
      </c>
      <c r="G377" s="250">
        <v>0.47300245265441898</v>
      </c>
      <c r="H377" s="250">
        <v>-0.22027079581869724</v>
      </c>
      <c r="I377" s="250">
        <v>0</v>
      </c>
      <c r="J377" s="253">
        <v>1.1456602006222616E-3</v>
      </c>
      <c r="K377" s="253">
        <v>-0.33445981256314672</v>
      </c>
      <c r="L377" s="250">
        <v>0</v>
      </c>
      <c r="M377" s="250">
        <v>5.8238543741159082E-2</v>
      </c>
      <c r="N377" s="250">
        <v>0.46152795806075553</v>
      </c>
      <c r="O377" s="253">
        <v>4.837119948929193E-2</v>
      </c>
      <c r="P377" s="253">
        <v>0</v>
      </c>
      <c r="Q377" s="250">
        <v>0</v>
      </c>
      <c r="R377" s="253">
        <v>0</v>
      </c>
      <c r="S377" s="253">
        <v>0</v>
      </c>
      <c r="T377" s="253">
        <v>0</v>
      </c>
      <c r="U377" s="253">
        <v>1.4455042457574459E-2</v>
      </c>
      <c r="V377" s="247"/>
    </row>
    <row r="378" spans="1:22">
      <c r="A378" s="242"/>
      <c r="B378" s="219" t="s">
        <v>818</v>
      </c>
      <c r="C378" s="239">
        <v>2.3289400612712193E-3</v>
      </c>
      <c r="D378" s="240">
        <v>0</v>
      </c>
      <c r="E378" s="240">
        <v>7.7637787247540309E-3</v>
      </c>
      <c r="F378" s="240">
        <v>0</v>
      </c>
      <c r="G378" s="240">
        <v>1.5603603382315916E-2</v>
      </c>
      <c r="H378" s="240">
        <v>4.1108966632060813E-4</v>
      </c>
      <c r="I378" s="240">
        <v>0</v>
      </c>
      <c r="J378" s="241">
        <v>5.0126752522150477E-3</v>
      </c>
      <c r="K378" s="241">
        <v>3.5337271863070561E-3</v>
      </c>
      <c r="L378" s="240">
        <v>1.0786242573370399E-3</v>
      </c>
      <c r="M378" s="240">
        <v>6.4795497659161259E-3</v>
      </c>
      <c r="N378" s="240">
        <v>2.9604183276274443E-4</v>
      </c>
      <c r="O378" s="241">
        <v>2.1518431511961672E-3</v>
      </c>
      <c r="P378" s="241">
        <v>0</v>
      </c>
      <c r="Q378" s="240">
        <v>0</v>
      </c>
      <c r="R378" s="241">
        <v>0</v>
      </c>
      <c r="S378" s="241">
        <v>0</v>
      </c>
      <c r="T378" s="241">
        <v>0</v>
      </c>
      <c r="U378" s="241">
        <v>3.994578116745251E-3</v>
      </c>
      <c r="V378" s="247"/>
    </row>
    <row r="379" spans="1:22">
      <c r="A379" s="242"/>
      <c r="B379" s="243" t="s">
        <v>819</v>
      </c>
      <c r="C379" s="244">
        <v>1.6274279431556682E-3</v>
      </c>
      <c r="D379" s="245">
        <v>0</v>
      </c>
      <c r="E379" s="245">
        <v>7.5432213721405737E-3</v>
      </c>
      <c r="F379" s="245">
        <v>0</v>
      </c>
      <c r="G379" s="245">
        <v>1.1273776082781434E-2</v>
      </c>
      <c r="H379" s="245">
        <v>4.3232337788665923E-5</v>
      </c>
      <c r="I379" s="245">
        <v>0</v>
      </c>
      <c r="J379" s="246">
        <v>3.9029934292237911E-3</v>
      </c>
      <c r="K379" s="246">
        <v>1.3855448165386287E-2</v>
      </c>
      <c r="L379" s="245">
        <v>2.18095851184266E-3</v>
      </c>
      <c r="M379" s="245">
        <v>0</v>
      </c>
      <c r="N379" s="245">
        <v>4.6747612755241967E-4</v>
      </c>
      <c r="O379" s="246">
        <v>3.2579250630313875E-3</v>
      </c>
      <c r="P379" s="246">
        <v>0</v>
      </c>
      <c r="Q379" s="245">
        <v>0</v>
      </c>
      <c r="R379" s="246">
        <v>0</v>
      </c>
      <c r="S379" s="246">
        <v>0</v>
      </c>
      <c r="T379" s="246">
        <v>0</v>
      </c>
      <c r="U379" s="246">
        <v>3.6757413194980141E-3</v>
      </c>
      <c r="V379" s="247"/>
    </row>
    <row r="380" spans="1:22">
      <c r="A380" s="242"/>
      <c r="B380" s="248" t="s">
        <v>820</v>
      </c>
      <c r="C380" s="249">
        <v>-7.0151211811555106E-2</v>
      </c>
      <c r="D380" s="250">
        <v>0</v>
      </c>
      <c r="E380" s="250">
        <v>-2.2055735261345723E-2</v>
      </c>
      <c r="F380" s="250">
        <v>0</v>
      </c>
      <c r="G380" s="250">
        <v>-0.43298272995344822</v>
      </c>
      <c r="H380" s="250">
        <v>-3.6785732853194218E-2</v>
      </c>
      <c r="I380" s="250">
        <v>0</v>
      </c>
      <c r="J380" s="253">
        <v>-0.11096818229912567</v>
      </c>
      <c r="K380" s="253">
        <v>1.032172097907923</v>
      </c>
      <c r="L380" s="250">
        <v>0.11023342545056201</v>
      </c>
      <c r="M380" s="250">
        <v>-0.64795497659161261</v>
      </c>
      <c r="N380" s="250">
        <v>1.7143429478967524E-2</v>
      </c>
      <c r="O380" s="253">
        <v>0.11060819118352203</v>
      </c>
      <c r="P380" s="253">
        <v>0</v>
      </c>
      <c r="Q380" s="250">
        <v>0</v>
      </c>
      <c r="R380" s="253">
        <v>0</v>
      </c>
      <c r="S380" s="253">
        <v>0</v>
      </c>
      <c r="T380" s="253">
        <v>0</v>
      </c>
      <c r="U380" s="253">
        <v>-3.1883679724723682E-2</v>
      </c>
      <c r="V380" s="247"/>
    </row>
    <row r="381" spans="1:22">
      <c r="A381" s="242"/>
      <c r="B381" s="219" t="s">
        <v>821</v>
      </c>
      <c r="C381" s="239">
        <v>7.204454754523214E-4</v>
      </c>
      <c r="D381" s="240">
        <v>0</v>
      </c>
      <c r="E381" s="240">
        <v>0</v>
      </c>
      <c r="F381" s="240">
        <v>0</v>
      </c>
      <c r="G381" s="240">
        <v>0</v>
      </c>
      <c r="H381" s="240">
        <v>0</v>
      </c>
      <c r="I381" s="240">
        <v>0</v>
      </c>
      <c r="J381" s="241">
        <v>3.5953440294818209E-4</v>
      </c>
      <c r="K381" s="241">
        <v>4.4793724896850008E-5</v>
      </c>
      <c r="L381" s="240">
        <v>0</v>
      </c>
      <c r="M381" s="240">
        <v>0</v>
      </c>
      <c r="N381" s="240">
        <v>0</v>
      </c>
      <c r="O381" s="241">
        <v>6.778644858510852E-6</v>
      </c>
      <c r="P381" s="241">
        <v>0</v>
      </c>
      <c r="Q381" s="240">
        <v>0</v>
      </c>
      <c r="R381" s="241">
        <v>0</v>
      </c>
      <c r="S381" s="241">
        <v>0</v>
      </c>
      <c r="T381" s="241">
        <v>0</v>
      </c>
      <c r="U381" s="241">
        <v>2.339976310755287E-4</v>
      </c>
      <c r="V381" s="247"/>
    </row>
    <row r="382" spans="1:22">
      <c r="A382" s="242"/>
      <c r="B382" s="243" t="s">
        <v>822</v>
      </c>
      <c r="C382" s="244">
        <v>0</v>
      </c>
      <c r="D382" s="245">
        <v>0</v>
      </c>
      <c r="E382" s="245">
        <v>7.3531529283019591E-4</v>
      </c>
      <c r="F382" s="245">
        <v>0</v>
      </c>
      <c r="G382" s="245">
        <v>0</v>
      </c>
      <c r="H382" s="245">
        <v>4.0350181936088194E-4</v>
      </c>
      <c r="I382" s="245">
        <v>0</v>
      </c>
      <c r="J382" s="246">
        <v>1.8672778067014431E-4</v>
      </c>
      <c r="K382" s="246">
        <v>0</v>
      </c>
      <c r="L382" s="245">
        <v>0</v>
      </c>
      <c r="M382" s="245">
        <v>0</v>
      </c>
      <c r="N382" s="245">
        <v>0</v>
      </c>
      <c r="O382" s="246">
        <v>0</v>
      </c>
      <c r="P382" s="246">
        <v>0</v>
      </c>
      <c r="Q382" s="245">
        <v>0</v>
      </c>
      <c r="R382" s="246">
        <v>0</v>
      </c>
      <c r="S382" s="246">
        <v>0</v>
      </c>
      <c r="T382" s="246">
        <v>0</v>
      </c>
      <c r="U382" s="246">
        <v>1.2094516858489194E-4</v>
      </c>
      <c r="V382" s="247"/>
    </row>
    <row r="383" spans="1:22" ht="15.75" thickBot="1">
      <c r="A383" s="242"/>
      <c r="B383" s="257" t="s">
        <v>823</v>
      </c>
      <c r="C383" s="258">
        <v>-7.2044547545232138E-2</v>
      </c>
      <c r="D383" s="259">
        <v>0</v>
      </c>
      <c r="E383" s="259">
        <v>0</v>
      </c>
      <c r="F383" s="259">
        <v>0</v>
      </c>
      <c r="G383" s="259">
        <v>0</v>
      </c>
      <c r="H383" s="259">
        <v>0</v>
      </c>
      <c r="I383" s="259">
        <v>0</v>
      </c>
      <c r="J383" s="260">
        <v>-1.7280662227803778E-2</v>
      </c>
      <c r="K383" s="260">
        <v>-4.4793724896850006E-3</v>
      </c>
      <c r="L383" s="259">
        <v>0</v>
      </c>
      <c r="M383" s="259">
        <v>0</v>
      </c>
      <c r="N383" s="259">
        <v>0</v>
      </c>
      <c r="O383" s="260">
        <v>-6.7786448585108519E-4</v>
      </c>
      <c r="P383" s="260">
        <v>0</v>
      </c>
      <c r="Q383" s="259">
        <v>0</v>
      </c>
      <c r="R383" s="260">
        <v>0</v>
      </c>
      <c r="S383" s="260">
        <v>0</v>
      </c>
      <c r="T383" s="260">
        <v>0</v>
      </c>
      <c r="U383" s="260">
        <v>-1.1305246249063676E-2</v>
      </c>
      <c r="V383" s="247"/>
    </row>
    <row r="384" spans="1:22" ht="15.75" thickTop="1">
      <c r="A384" s="242"/>
      <c r="B384" s="243" t="s">
        <v>824</v>
      </c>
      <c r="C384" s="244">
        <v>0.76145971274320057</v>
      </c>
      <c r="D384" s="245">
        <v>0</v>
      </c>
      <c r="E384" s="245">
        <v>0.80801625259237309</v>
      </c>
      <c r="F384" s="245">
        <v>0.40951312542068657</v>
      </c>
      <c r="G384" s="245">
        <v>0.43025805363467701</v>
      </c>
      <c r="H384" s="245">
        <v>1</v>
      </c>
      <c r="I384" s="245">
        <v>0</v>
      </c>
      <c r="J384" s="246">
        <v>0.71567949031515277</v>
      </c>
      <c r="K384" s="246">
        <v>0</v>
      </c>
      <c r="L384" s="245">
        <v>0</v>
      </c>
      <c r="M384" s="245">
        <v>0</v>
      </c>
      <c r="N384" s="245">
        <v>0</v>
      </c>
      <c r="O384" s="246">
        <v>0</v>
      </c>
      <c r="P384" s="246">
        <v>0</v>
      </c>
      <c r="Q384" s="245">
        <v>0</v>
      </c>
      <c r="R384" s="246">
        <v>0</v>
      </c>
      <c r="S384" s="246">
        <v>0</v>
      </c>
      <c r="T384" s="246">
        <v>0</v>
      </c>
      <c r="U384" s="246">
        <v>0.71567949031515277</v>
      </c>
      <c r="V384" s="247"/>
    </row>
    <row r="385" spans="1:22">
      <c r="A385" s="242"/>
      <c r="B385" s="243" t="s">
        <v>825</v>
      </c>
      <c r="C385" s="244">
        <v>0.70863000130814224</v>
      </c>
      <c r="D385" s="245">
        <v>0</v>
      </c>
      <c r="E385" s="245">
        <v>0.78228059109749504</v>
      </c>
      <c r="F385" s="245">
        <v>0.31020377528427218</v>
      </c>
      <c r="G385" s="245">
        <v>0.48030909233545149</v>
      </c>
      <c r="H385" s="245">
        <v>0.9107142857142857</v>
      </c>
      <c r="I385" s="245">
        <v>0</v>
      </c>
      <c r="J385" s="246">
        <v>0.66662701997229012</v>
      </c>
      <c r="K385" s="246">
        <v>0</v>
      </c>
      <c r="L385" s="245">
        <v>0</v>
      </c>
      <c r="M385" s="245">
        <v>0</v>
      </c>
      <c r="N385" s="245">
        <v>0</v>
      </c>
      <c r="O385" s="246">
        <v>0</v>
      </c>
      <c r="P385" s="246">
        <v>0</v>
      </c>
      <c r="Q385" s="245">
        <v>0</v>
      </c>
      <c r="R385" s="246">
        <v>0</v>
      </c>
      <c r="S385" s="246">
        <v>0</v>
      </c>
      <c r="T385" s="246">
        <v>0</v>
      </c>
      <c r="U385" s="246">
        <v>0.66662701997229012</v>
      </c>
      <c r="V385" s="247"/>
    </row>
    <row r="386" spans="1:22">
      <c r="A386" s="242"/>
      <c r="B386" s="248" t="s">
        <v>826</v>
      </c>
      <c r="C386" s="269">
        <v>-5.2829711435058329</v>
      </c>
      <c r="D386" s="250">
        <v>0</v>
      </c>
      <c r="E386" s="252">
        <v>-2.5735661494878048</v>
      </c>
      <c r="F386" s="252">
        <v>-9.9309350136414398</v>
      </c>
      <c r="G386" s="250">
        <v>5.0051038700774484</v>
      </c>
      <c r="H386" s="250">
        <v>-8.9285714285714306</v>
      </c>
      <c r="I386" s="250">
        <v>0</v>
      </c>
      <c r="J386" s="253">
        <v>-4.9052470342862637</v>
      </c>
      <c r="K386" s="253">
        <v>0</v>
      </c>
      <c r="L386" s="250">
        <v>0</v>
      </c>
      <c r="M386" s="250">
        <v>0</v>
      </c>
      <c r="N386" s="250">
        <v>0</v>
      </c>
      <c r="O386" s="253">
        <v>0</v>
      </c>
      <c r="P386" s="253">
        <v>0</v>
      </c>
      <c r="Q386" s="250">
        <v>0</v>
      </c>
      <c r="R386" s="253">
        <v>0</v>
      </c>
      <c r="S386" s="253">
        <v>0</v>
      </c>
      <c r="T386" s="253">
        <v>0</v>
      </c>
      <c r="U386" s="253">
        <v>-4.9052470342862637</v>
      </c>
      <c r="V386" s="247"/>
    </row>
    <row r="387" spans="1:22">
      <c r="A387" s="242"/>
      <c r="B387" s="219" t="s">
        <v>827</v>
      </c>
      <c r="C387" s="239">
        <v>7.5226647652032186E-2</v>
      </c>
      <c r="D387" s="240">
        <v>0</v>
      </c>
      <c r="E387" s="240">
        <v>4.8461505904262075E-3</v>
      </c>
      <c r="F387" s="240">
        <v>5.6540273726722011E-2</v>
      </c>
      <c r="G387" s="240">
        <v>4.0816326530612249E-3</v>
      </c>
      <c r="H387" s="240">
        <v>0</v>
      </c>
      <c r="I387" s="240">
        <v>0</v>
      </c>
      <c r="J387" s="241">
        <v>5.7667643005852066E-2</v>
      </c>
      <c r="K387" s="241">
        <v>0</v>
      </c>
      <c r="L387" s="240">
        <v>0</v>
      </c>
      <c r="M387" s="240">
        <v>0</v>
      </c>
      <c r="N387" s="240">
        <v>0</v>
      </c>
      <c r="O387" s="241">
        <v>0</v>
      </c>
      <c r="P387" s="241">
        <v>0</v>
      </c>
      <c r="Q387" s="240">
        <v>0</v>
      </c>
      <c r="R387" s="241">
        <v>0</v>
      </c>
      <c r="S387" s="241">
        <v>0</v>
      </c>
      <c r="T387" s="241">
        <v>0</v>
      </c>
      <c r="U387" s="241">
        <v>5.7667643005852066E-2</v>
      </c>
      <c r="V387" s="247"/>
    </row>
    <row r="388" spans="1:22">
      <c r="A388" s="242"/>
      <c r="B388" s="243" t="s">
        <v>828</v>
      </c>
      <c r="C388" s="244">
        <v>8.0894582422305697E-2</v>
      </c>
      <c r="D388" s="245">
        <v>0</v>
      </c>
      <c r="E388" s="245">
        <v>5.8118579924310689E-3</v>
      </c>
      <c r="F388" s="245">
        <v>5.888092468195294E-2</v>
      </c>
      <c r="G388" s="245">
        <v>2.353494939985879E-4</v>
      </c>
      <c r="H388" s="245">
        <v>0</v>
      </c>
      <c r="I388" s="245">
        <v>0</v>
      </c>
      <c r="J388" s="246">
        <v>6.1553100317923624E-2</v>
      </c>
      <c r="K388" s="246">
        <v>0</v>
      </c>
      <c r="L388" s="245">
        <v>0</v>
      </c>
      <c r="M388" s="245">
        <v>0</v>
      </c>
      <c r="N388" s="245">
        <v>0</v>
      </c>
      <c r="O388" s="246">
        <v>0</v>
      </c>
      <c r="P388" s="246">
        <v>0</v>
      </c>
      <c r="Q388" s="245">
        <v>0</v>
      </c>
      <c r="R388" s="246">
        <v>0</v>
      </c>
      <c r="S388" s="246">
        <v>0</v>
      </c>
      <c r="T388" s="246">
        <v>0</v>
      </c>
      <c r="U388" s="246">
        <v>6.1553100317923624E-2</v>
      </c>
      <c r="V388" s="247"/>
    </row>
    <row r="389" spans="1:22">
      <c r="A389" s="242"/>
      <c r="B389" s="248" t="s">
        <v>829</v>
      </c>
      <c r="C389" s="269">
        <v>0.56679347702735106</v>
      </c>
      <c r="D389" s="250">
        <v>0</v>
      </c>
      <c r="E389" s="252">
        <v>9.6570740200486144E-2</v>
      </c>
      <c r="F389" s="250">
        <v>0.23406509552309288</v>
      </c>
      <c r="G389" s="250">
        <v>-0.38462831590626367</v>
      </c>
      <c r="H389" s="250">
        <v>0</v>
      </c>
      <c r="I389" s="250">
        <v>0</v>
      </c>
      <c r="J389" s="253">
        <v>0.3885457312071558</v>
      </c>
      <c r="K389" s="253">
        <v>0</v>
      </c>
      <c r="L389" s="250">
        <v>0</v>
      </c>
      <c r="M389" s="250">
        <v>0</v>
      </c>
      <c r="N389" s="250">
        <v>0</v>
      </c>
      <c r="O389" s="253">
        <v>0</v>
      </c>
      <c r="P389" s="253">
        <v>0</v>
      </c>
      <c r="Q389" s="250">
        <v>0</v>
      </c>
      <c r="R389" s="253">
        <v>0</v>
      </c>
      <c r="S389" s="253">
        <v>0</v>
      </c>
      <c r="T389" s="253">
        <v>0</v>
      </c>
      <c r="U389" s="253">
        <v>0.3885457312071558</v>
      </c>
      <c r="V389" s="247"/>
    </row>
    <row r="390" spans="1:22">
      <c r="A390" s="242"/>
      <c r="B390" s="219" t="s">
        <v>830</v>
      </c>
      <c r="C390" s="239">
        <v>0.14082289226172287</v>
      </c>
      <c r="D390" s="240">
        <v>0</v>
      </c>
      <c r="E390" s="240">
        <v>0.14182926313116351</v>
      </c>
      <c r="F390" s="240">
        <v>0.49252860668611176</v>
      </c>
      <c r="G390" s="240">
        <v>0.45464665204924948</v>
      </c>
      <c r="H390" s="240">
        <v>0</v>
      </c>
      <c r="I390" s="240">
        <v>0</v>
      </c>
      <c r="J390" s="241">
        <v>0.19189240781946276</v>
      </c>
      <c r="K390" s="241">
        <v>0</v>
      </c>
      <c r="L390" s="240">
        <v>0</v>
      </c>
      <c r="M390" s="240">
        <v>0</v>
      </c>
      <c r="N390" s="240">
        <v>0</v>
      </c>
      <c r="O390" s="241">
        <v>0</v>
      </c>
      <c r="P390" s="241">
        <v>0</v>
      </c>
      <c r="Q390" s="240">
        <v>0</v>
      </c>
      <c r="R390" s="241">
        <v>0</v>
      </c>
      <c r="S390" s="241">
        <v>0</v>
      </c>
      <c r="T390" s="241">
        <v>0</v>
      </c>
      <c r="U390" s="241">
        <v>0.19189240781946276</v>
      </c>
      <c r="V390" s="247"/>
    </row>
    <row r="391" spans="1:22">
      <c r="A391" s="242"/>
      <c r="B391" s="243" t="s">
        <v>831</v>
      </c>
      <c r="C391" s="244">
        <v>0.19110556707966586</v>
      </c>
      <c r="D391" s="245">
        <v>0</v>
      </c>
      <c r="E391" s="245">
        <v>0.15694269237700487</v>
      </c>
      <c r="F391" s="245">
        <v>0.62708747701429801</v>
      </c>
      <c r="G391" s="245">
        <v>0.43276849454773675</v>
      </c>
      <c r="H391" s="245">
        <v>8.9285714285714288E-2</v>
      </c>
      <c r="I391" s="245">
        <v>0</v>
      </c>
      <c r="J391" s="246">
        <v>0.2432163970155683</v>
      </c>
      <c r="K391" s="246">
        <v>0</v>
      </c>
      <c r="L391" s="245">
        <v>0</v>
      </c>
      <c r="M391" s="245">
        <v>0</v>
      </c>
      <c r="N391" s="245">
        <v>0</v>
      </c>
      <c r="O391" s="246">
        <v>0</v>
      </c>
      <c r="P391" s="246">
        <v>0</v>
      </c>
      <c r="Q391" s="245">
        <v>0</v>
      </c>
      <c r="R391" s="246">
        <v>0</v>
      </c>
      <c r="S391" s="246">
        <v>0</v>
      </c>
      <c r="T391" s="246">
        <v>0</v>
      </c>
      <c r="U391" s="246">
        <v>0.2432163970155683</v>
      </c>
      <c r="V391" s="247"/>
    </row>
    <row r="392" spans="1:22">
      <c r="A392" s="242"/>
      <c r="B392" s="248" t="s">
        <v>832</v>
      </c>
      <c r="C392" s="269">
        <v>5.0282674817942992</v>
      </c>
      <c r="D392" s="250">
        <v>0</v>
      </c>
      <c r="E392" s="250">
        <v>1.5113429245841359</v>
      </c>
      <c r="F392" s="252">
        <v>13.455887032818625</v>
      </c>
      <c r="G392" s="250">
        <v>-2.1878157501512732</v>
      </c>
      <c r="H392" s="250">
        <v>0</v>
      </c>
      <c r="I392" s="250">
        <v>0</v>
      </c>
      <c r="J392" s="253">
        <v>5.1323989196105533</v>
      </c>
      <c r="K392" s="253">
        <v>0</v>
      </c>
      <c r="L392" s="250">
        <v>0</v>
      </c>
      <c r="M392" s="250">
        <v>0</v>
      </c>
      <c r="N392" s="250">
        <v>0</v>
      </c>
      <c r="O392" s="253">
        <v>0</v>
      </c>
      <c r="P392" s="253">
        <v>0</v>
      </c>
      <c r="Q392" s="250">
        <v>0</v>
      </c>
      <c r="R392" s="253">
        <v>0</v>
      </c>
      <c r="S392" s="253">
        <v>0</v>
      </c>
      <c r="T392" s="253">
        <v>0</v>
      </c>
      <c r="U392" s="253">
        <v>5.1323989196105533</v>
      </c>
      <c r="V392" s="247"/>
    </row>
    <row r="393" spans="1:22">
      <c r="A393" s="242"/>
      <c r="B393" s="219" t="s">
        <v>833</v>
      </c>
      <c r="C393" s="239">
        <v>2.9922583273912602E-3</v>
      </c>
      <c r="D393" s="240">
        <v>0</v>
      </c>
      <c r="E393" s="240">
        <v>1.1152495026876031E-2</v>
      </c>
      <c r="F393" s="240">
        <v>4.1373120933363247E-2</v>
      </c>
      <c r="G393" s="240">
        <v>7.5560802833530102E-2</v>
      </c>
      <c r="H393" s="240">
        <v>0</v>
      </c>
      <c r="I393" s="240">
        <v>0</v>
      </c>
      <c r="J393" s="241">
        <v>1.3106011346214648E-2</v>
      </c>
      <c r="K393" s="241">
        <v>0</v>
      </c>
      <c r="L393" s="240">
        <v>0</v>
      </c>
      <c r="M393" s="240">
        <v>0</v>
      </c>
      <c r="N393" s="240">
        <v>0</v>
      </c>
      <c r="O393" s="241">
        <v>0</v>
      </c>
      <c r="P393" s="241">
        <v>0</v>
      </c>
      <c r="Q393" s="240">
        <v>0</v>
      </c>
      <c r="R393" s="241">
        <v>0</v>
      </c>
      <c r="S393" s="241">
        <v>0</v>
      </c>
      <c r="T393" s="241">
        <v>0</v>
      </c>
      <c r="U393" s="241">
        <v>1.3106011346214648E-2</v>
      </c>
      <c r="V393" s="247"/>
    </row>
    <row r="394" spans="1:22">
      <c r="A394" s="242"/>
      <c r="B394" s="243" t="s">
        <v>834</v>
      </c>
      <c r="C394" s="244">
        <v>1.8080394685204911E-3</v>
      </c>
      <c r="D394" s="245">
        <v>0</v>
      </c>
      <c r="E394" s="245">
        <v>1.0519913497927554E-2</v>
      </c>
      <c r="F394" s="245">
        <v>3.8278230194768643E-3</v>
      </c>
      <c r="G394" s="245">
        <v>4.8599670510708404E-2</v>
      </c>
      <c r="H394" s="245">
        <v>0</v>
      </c>
      <c r="I394" s="245">
        <v>0</v>
      </c>
      <c r="J394" s="246">
        <v>7.0560400667350302E-3</v>
      </c>
      <c r="K394" s="246">
        <v>0</v>
      </c>
      <c r="L394" s="245">
        <v>0</v>
      </c>
      <c r="M394" s="245">
        <v>0</v>
      </c>
      <c r="N394" s="245">
        <v>0</v>
      </c>
      <c r="O394" s="246">
        <v>0</v>
      </c>
      <c r="P394" s="246">
        <v>0</v>
      </c>
      <c r="Q394" s="245">
        <v>0</v>
      </c>
      <c r="R394" s="246">
        <v>0</v>
      </c>
      <c r="S394" s="246">
        <v>0</v>
      </c>
      <c r="T394" s="246">
        <v>0</v>
      </c>
      <c r="U394" s="246">
        <v>7.0560400667350302E-3</v>
      </c>
      <c r="V394" s="247"/>
    </row>
    <row r="395" spans="1:22">
      <c r="A395" s="242"/>
      <c r="B395" s="248" t="s">
        <v>835</v>
      </c>
      <c r="C395" s="249">
        <v>-0.11842188588707692</v>
      </c>
      <c r="D395" s="250">
        <v>0</v>
      </c>
      <c r="E395" s="250">
        <v>-6.3258152894847708E-2</v>
      </c>
      <c r="F395" s="250">
        <v>-3.754529791388638</v>
      </c>
      <c r="G395" s="250">
        <v>-2.6961132322821699</v>
      </c>
      <c r="H395" s="250">
        <v>0</v>
      </c>
      <c r="I395" s="250">
        <v>0</v>
      </c>
      <c r="J395" s="253">
        <v>-0.60499712794796179</v>
      </c>
      <c r="K395" s="253">
        <v>0</v>
      </c>
      <c r="L395" s="250">
        <v>0</v>
      </c>
      <c r="M395" s="250">
        <v>0</v>
      </c>
      <c r="N395" s="250">
        <v>0</v>
      </c>
      <c r="O395" s="253">
        <v>0</v>
      </c>
      <c r="P395" s="253">
        <v>0</v>
      </c>
      <c r="Q395" s="250">
        <v>0</v>
      </c>
      <c r="R395" s="253">
        <v>0</v>
      </c>
      <c r="S395" s="253">
        <v>0</v>
      </c>
      <c r="T395" s="253">
        <v>0</v>
      </c>
      <c r="U395" s="253">
        <v>-0.60499712794796179</v>
      </c>
      <c r="V395" s="247"/>
    </row>
    <row r="396" spans="1:22">
      <c r="A396" s="242"/>
      <c r="B396" s="219" t="s">
        <v>836</v>
      </c>
      <c r="C396" s="239">
        <v>1.6094529897117245E-2</v>
      </c>
      <c r="D396" s="240">
        <v>0</v>
      </c>
      <c r="E396" s="240">
        <v>3.4155838659161129E-2</v>
      </c>
      <c r="F396" s="240">
        <v>4.4873233116446037E-5</v>
      </c>
      <c r="G396" s="240">
        <v>3.5452858829482209E-2</v>
      </c>
      <c r="H396" s="240">
        <v>0</v>
      </c>
      <c r="I396" s="240">
        <v>0</v>
      </c>
      <c r="J396" s="241">
        <v>1.926231708553805E-2</v>
      </c>
      <c r="K396" s="241">
        <v>0</v>
      </c>
      <c r="L396" s="240">
        <v>0</v>
      </c>
      <c r="M396" s="240">
        <v>0</v>
      </c>
      <c r="N396" s="240">
        <v>0</v>
      </c>
      <c r="O396" s="241">
        <v>0</v>
      </c>
      <c r="P396" s="241">
        <v>0</v>
      </c>
      <c r="Q396" s="240">
        <v>0</v>
      </c>
      <c r="R396" s="241">
        <v>0</v>
      </c>
      <c r="S396" s="241">
        <v>0</v>
      </c>
      <c r="T396" s="241">
        <v>0</v>
      </c>
      <c r="U396" s="241">
        <v>1.926231708553805E-2</v>
      </c>
      <c r="V396" s="247"/>
    </row>
    <row r="397" spans="1:22">
      <c r="A397" s="242"/>
      <c r="B397" s="243" t="s">
        <v>837</v>
      </c>
      <c r="C397" s="244">
        <v>1.7561809721365701E-2</v>
      </c>
      <c r="D397" s="245">
        <v>0</v>
      </c>
      <c r="E397" s="245">
        <v>4.4444945035141466E-2</v>
      </c>
      <c r="F397" s="245">
        <v>0</v>
      </c>
      <c r="G397" s="245">
        <v>3.8087393112104809E-2</v>
      </c>
      <c r="H397" s="245">
        <v>0</v>
      </c>
      <c r="I397" s="245">
        <v>0</v>
      </c>
      <c r="J397" s="246">
        <v>2.1547442627482875E-2</v>
      </c>
      <c r="K397" s="246">
        <v>0</v>
      </c>
      <c r="L397" s="245">
        <v>0</v>
      </c>
      <c r="M397" s="245">
        <v>0</v>
      </c>
      <c r="N397" s="245">
        <v>0</v>
      </c>
      <c r="O397" s="246">
        <v>0</v>
      </c>
      <c r="P397" s="246">
        <v>0</v>
      </c>
      <c r="Q397" s="245">
        <v>0</v>
      </c>
      <c r="R397" s="246">
        <v>0</v>
      </c>
      <c r="S397" s="246">
        <v>0</v>
      </c>
      <c r="T397" s="246">
        <v>0</v>
      </c>
      <c r="U397" s="246">
        <v>2.1547442627482875E-2</v>
      </c>
      <c r="V397" s="247"/>
    </row>
    <row r="398" spans="1:22">
      <c r="A398" s="242"/>
      <c r="B398" s="248" t="s">
        <v>838</v>
      </c>
      <c r="C398" s="249">
        <v>0.14672798242484561</v>
      </c>
      <c r="D398" s="250">
        <v>0</v>
      </c>
      <c r="E398" s="250">
        <v>1.0289106375980337</v>
      </c>
      <c r="F398" s="250">
        <v>-4.4873233116446039E-3</v>
      </c>
      <c r="G398" s="250">
        <v>0.26345342826225998</v>
      </c>
      <c r="H398" s="250">
        <v>0</v>
      </c>
      <c r="I398" s="250">
        <v>0</v>
      </c>
      <c r="J398" s="253">
        <v>0.22851255419448246</v>
      </c>
      <c r="K398" s="253">
        <v>0</v>
      </c>
      <c r="L398" s="250">
        <v>0</v>
      </c>
      <c r="M398" s="250">
        <v>0</v>
      </c>
      <c r="N398" s="250">
        <v>0</v>
      </c>
      <c r="O398" s="253">
        <v>0</v>
      </c>
      <c r="P398" s="253">
        <v>0</v>
      </c>
      <c r="Q398" s="250">
        <v>0</v>
      </c>
      <c r="R398" s="253">
        <v>0</v>
      </c>
      <c r="S398" s="253">
        <v>0</v>
      </c>
      <c r="T398" s="253">
        <v>0</v>
      </c>
      <c r="U398" s="253">
        <v>0.22851255419448246</v>
      </c>
      <c r="V398" s="247"/>
    </row>
    <row r="399" spans="1:22">
      <c r="A399" s="242"/>
      <c r="B399" s="219" t="s">
        <v>839</v>
      </c>
      <c r="C399" s="239">
        <v>3.4039591185358732E-3</v>
      </c>
      <c r="D399" s="240">
        <v>0</v>
      </c>
      <c r="E399" s="240">
        <v>0</v>
      </c>
      <c r="F399" s="240">
        <v>0</v>
      </c>
      <c r="G399" s="240">
        <v>0</v>
      </c>
      <c r="H399" s="240">
        <v>0</v>
      </c>
      <c r="I399" s="240">
        <v>0</v>
      </c>
      <c r="J399" s="241">
        <v>2.3921304277797332E-3</v>
      </c>
      <c r="K399" s="241">
        <v>0</v>
      </c>
      <c r="L399" s="240">
        <v>0</v>
      </c>
      <c r="M399" s="240">
        <v>0</v>
      </c>
      <c r="N399" s="240">
        <v>0</v>
      </c>
      <c r="O399" s="241">
        <v>0</v>
      </c>
      <c r="P399" s="241">
        <v>0</v>
      </c>
      <c r="Q399" s="240">
        <v>0</v>
      </c>
      <c r="R399" s="241">
        <v>0</v>
      </c>
      <c r="S399" s="241">
        <v>0</v>
      </c>
      <c r="T399" s="241">
        <v>0</v>
      </c>
      <c r="U399" s="241">
        <v>2.3921304277797332E-3</v>
      </c>
      <c r="V399" s="247"/>
    </row>
    <row r="400" spans="1:22">
      <c r="A400" s="242"/>
      <c r="B400" s="243" t="s">
        <v>840</v>
      </c>
      <c r="C400" s="244">
        <v>0</v>
      </c>
      <c r="D400" s="245">
        <v>0</v>
      </c>
      <c r="E400" s="245">
        <v>0</v>
      </c>
      <c r="F400" s="245">
        <v>0</v>
      </c>
      <c r="G400" s="245">
        <v>0</v>
      </c>
      <c r="H400" s="245">
        <v>0</v>
      </c>
      <c r="I400" s="245">
        <v>0</v>
      </c>
      <c r="J400" s="246">
        <v>0</v>
      </c>
      <c r="K400" s="246">
        <v>0</v>
      </c>
      <c r="L400" s="245">
        <v>0</v>
      </c>
      <c r="M400" s="245">
        <v>0</v>
      </c>
      <c r="N400" s="245">
        <v>0</v>
      </c>
      <c r="O400" s="246">
        <v>0</v>
      </c>
      <c r="P400" s="246">
        <v>0</v>
      </c>
      <c r="Q400" s="245">
        <v>0</v>
      </c>
      <c r="R400" s="246">
        <v>0</v>
      </c>
      <c r="S400" s="246">
        <v>0</v>
      </c>
      <c r="T400" s="246">
        <v>0</v>
      </c>
      <c r="U400" s="246">
        <v>0</v>
      </c>
      <c r="V400" s="247"/>
    </row>
    <row r="401" spans="1:22" ht="15.75" thickBot="1">
      <c r="A401" s="261"/>
      <c r="B401" s="262" t="s">
        <v>841</v>
      </c>
      <c r="C401" s="263">
        <v>-0.34039591185358731</v>
      </c>
      <c r="D401" s="264">
        <v>0</v>
      </c>
      <c r="E401" s="264">
        <v>0</v>
      </c>
      <c r="F401" s="264">
        <v>0</v>
      </c>
      <c r="G401" s="264">
        <v>0</v>
      </c>
      <c r="H401" s="264">
        <v>0</v>
      </c>
      <c r="I401" s="264">
        <v>0</v>
      </c>
      <c r="J401" s="265">
        <v>-0.23921304277797331</v>
      </c>
      <c r="K401" s="265">
        <v>0</v>
      </c>
      <c r="L401" s="264">
        <v>0</v>
      </c>
      <c r="M401" s="264">
        <v>0</v>
      </c>
      <c r="N401" s="264">
        <v>0</v>
      </c>
      <c r="O401" s="265">
        <v>0</v>
      </c>
      <c r="P401" s="265">
        <v>0</v>
      </c>
      <c r="Q401" s="264">
        <v>0</v>
      </c>
      <c r="R401" s="265">
        <v>0</v>
      </c>
      <c r="S401" s="265">
        <v>0</v>
      </c>
      <c r="T401" s="265">
        <v>0</v>
      </c>
      <c r="U401" s="265">
        <v>-0.23921304277797331</v>
      </c>
      <c r="V401" s="247"/>
    </row>
    <row r="402" spans="1:22">
      <c r="A402" s="238" t="s">
        <v>489</v>
      </c>
      <c r="B402" s="219" t="s">
        <v>806</v>
      </c>
      <c r="C402" s="239">
        <v>0.91985820745457414</v>
      </c>
      <c r="D402" s="240">
        <v>0</v>
      </c>
      <c r="E402" s="240">
        <v>0.93873011429904363</v>
      </c>
      <c r="F402" s="240">
        <v>0</v>
      </c>
      <c r="G402" s="240">
        <v>0.89412425803796813</v>
      </c>
      <c r="H402" s="240">
        <v>0.87425398090785644</v>
      </c>
      <c r="I402" s="240">
        <v>0</v>
      </c>
      <c r="J402" s="241">
        <v>0.91303436539255189</v>
      </c>
      <c r="K402" s="241">
        <v>0</v>
      </c>
      <c r="L402" s="240">
        <v>0.66326272150435528</v>
      </c>
      <c r="M402" s="240">
        <v>0.53358598321934714</v>
      </c>
      <c r="N402" s="240">
        <v>0.74685244250461646</v>
      </c>
      <c r="O402" s="241">
        <v>0.63524728845523382</v>
      </c>
      <c r="P402" s="241">
        <v>0</v>
      </c>
      <c r="Q402" s="240">
        <v>0</v>
      </c>
      <c r="R402" s="241">
        <v>0</v>
      </c>
      <c r="S402" s="241">
        <v>0</v>
      </c>
      <c r="T402" s="241">
        <v>0</v>
      </c>
      <c r="U402" s="241">
        <v>0.79828520872503672</v>
      </c>
      <c r="V402" s="247"/>
    </row>
    <row r="403" spans="1:22">
      <c r="A403" s="242"/>
      <c r="B403" s="243" t="s">
        <v>807</v>
      </c>
      <c r="C403" s="244">
        <v>0.90479594745729264</v>
      </c>
      <c r="D403" s="245">
        <v>0</v>
      </c>
      <c r="E403" s="245">
        <v>0.91843067511373655</v>
      </c>
      <c r="F403" s="245">
        <v>0</v>
      </c>
      <c r="G403" s="245">
        <v>0.87740125331692242</v>
      </c>
      <c r="H403" s="245">
        <v>0.85358882822899274</v>
      </c>
      <c r="I403" s="245">
        <v>0</v>
      </c>
      <c r="J403" s="246">
        <v>0.89590268886043534</v>
      </c>
      <c r="K403" s="246">
        <v>0</v>
      </c>
      <c r="L403" s="245">
        <v>0.62628552942516436</v>
      </c>
      <c r="M403" s="245">
        <v>0.53078725977288643</v>
      </c>
      <c r="N403" s="245">
        <v>0.74240305993337508</v>
      </c>
      <c r="O403" s="246">
        <v>0.61363566434949635</v>
      </c>
      <c r="P403" s="246">
        <v>0</v>
      </c>
      <c r="Q403" s="245">
        <v>0</v>
      </c>
      <c r="R403" s="246">
        <v>0</v>
      </c>
      <c r="S403" s="246">
        <v>0</v>
      </c>
      <c r="T403" s="246">
        <v>0</v>
      </c>
      <c r="U403" s="246">
        <v>0.78327449836079088</v>
      </c>
      <c r="V403" s="247"/>
    </row>
    <row r="404" spans="1:22">
      <c r="A404" s="242"/>
      <c r="B404" s="248" t="s">
        <v>808</v>
      </c>
      <c r="C404" s="249">
        <v>-1.5062259997281502</v>
      </c>
      <c r="D404" s="250">
        <v>0</v>
      </c>
      <c r="E404" s="250">
        <v>-2.0299439185307078</v>
      </c>
      <c r="F404" s="250">
        <v>0</v>
      </c>
      <c r="G404" s="250">
        <v>-1.6723004721045709</v>
      </c>
      <c r="H404" s="250">
        <v>-2.0665152678863707</v>
      </c>
      <c r="I404" s="250">
        <v>0</v>
      </c>
      <c r="J404" s="253">
        <v>-1.7131676532116558</v>
      </c>
      <c r="K404" s="253">
        <v>0</v>
      </c>
      <c r="L404" s="250">
        <v>-3.6977192079190924</v>
      </c>
      <c r="M404" s="250">
        <v>-0.27987234464607047</v>
      </c>
      <c r="N404" s="252">
        <v>-0.44493825712413893</v>
      </c>
      <c r="O404" s="253">
        <v>-2.161162410573747</v>
      </c>
      <c r="P404" s="253">
        <v>0</v>
      </c>
      <c r="Q404" s="250">
        <v>0</v>
      </c>
      <c r="R404" s="253">
        <v>0</v>
      </c>
      <c r="S404" s="253">
        <v>0</v>
      </c>
      <c r="T404" s="253">
        <v>0</v>
      </c>
      <c r="U404" s="253">
        <v>-1.5010710364245838</v>
      </c>
      <c r="V404" s="247"/>
    </row>
    <row r="405" spans="1:22">
      <c r="A405" s="242"/>
      <c r="B405" s="219" t="s">
        <v>809</v>
      </c>
      <c r="C405" s="239">
        <v>9.0107936659816756E-3</v>
      </c>
      <c r="D405" s="240">
        <v>0</v>
      </c>
      <c r="E405" s="240">
        <v>1.1730347562397948E-2</v>
      </c>
      <c r="F405" s="240">
        <v>0</v>
      </c>
      <c r="G405" s="240">
        <v>4.8693505246553736E-3</v>
      </c>
      <c r="H405" s="240">
        <v>8.4313500293881191E-4</v>
      </c>
      <c r="I405" s="240">
        <v>0</v>
      </c>
      <c r="J405" s="241">
        <v>7.7357606896263902E-3</v>
      </c>
      <c r="K405" s="241">
        <v>0</v>
      </c>
      <c r="L405" s="240">
        <v>5.8794272087803183E-2</v>
      </c>
      <c r="M405" s="240">
        <v>9.1720721991116125E-2</v>
      </c>
      <c r="N405" s="240">
        <v>4.9300474539074754E-2</v>
      </c>
      <c r="O405" s="241">
        <v>6.7417820876232964E-2</v>
      </c>
      <c r="P405" s="241">
        <v>0</v>
      </c>
      <c r="Q405" s="240">
        <v>0</v>
      </c>
      <c r="R405" s="241">
        <v>0</v>
      </c>
      <c r="S405" s="241">
        <v>0</v>
      </c>
      <c r="T405" s="241">
        <v>0</v>
      </c>
      <c r="U405" s="241">
        <v>3.2389413228467598E-2</v>
      </c>
      <c r="V405" s="247"/>
    </row>
    <row r="406" spans="1:22">
      <c r="A406" s="242"/>
      <c r="B406" s="243" t="s">
        <v>810</v>
      </c>
      <c r="C406" s="244">
        <v>7.6460311542875525E-3</v>
      </c>
      <c r="D406" s="245">
        <v>0</v>
      </c>
      <c r="E406" s="245">
        <v>1.2427081296283313E-2</v>
      </c>
      <c r="F406" s="245">
        <v>0</v>
      </c>
      <c r="G406" s="245">
        <v>5.6776447700156831E-3</v>
      </c>
      <c r="H406" s="245">
        <v>8.7329079789669233E-5</v>
      </c>
      <c r="I406" s="245">
        <v>0</v>
      </c>
      <c r="J406" s="246">
        <v>7.2239184915241254E-3</v>
      </c>
      <c r="K406" s="246">
        <v>0</v>
      </c>
      <c r="L406" s="245">
        <v>6.2012647360315774E-2</v>
      </c>
      <c r="M406" s="245">
        <v>9.6762901033730073E-2</v>
      </c>
      <c r="N406" s="245">
        <v>4.1547224446279001E-2</v>
      </c>
      <c r="O406" s="246">
        <v>6.9501372500324163E-2</v>
      </c>
      <c r="P406" s="246">
        <v>0</v>
      </c>
      <c r="Q406" s="245">
        <v>0</v>
      </c>
      <c r="R406" s="246">
        <v>0</v>
      </c>
      <c r="S406" s="246">
        <v>0</v>
      </c>
      <c r="T406" s="246">
        <v>0</v>
      </c>
      <c r="U406" s="246">
        <v>3.2073427448827602E-2</v>
      </c>
      <c r="V406" s="247"/>
    </row>
    <row r="407" spans="1:22">
      <c r="A407" s="242"/>
      <c r="B407" s="248" t="s">
        <v>811</v>
      </c>
      <c r="C407" s="249">
        <v>-0.13647625116941231</v>
      </c>
      <c r="D407" s="250">
        <v>0</v>
      </c>
      <c r="E407" s="250">
        <v>6.9673373388536547E-2</v>
      </c>
      <c r="F407" s="250">
        <v>0</v>
      </c>
      <c r="G407" s="250">
        <v>8.0829424536030953E-2</v>
      </c>
      <c r="H407" s="250">
        <v>-7.5580592314914263E-2</v>
      </c>
      <c r="I407" s="250">
        <v>0</v>
      </c>
      <c r="J407" s="253">
        <v>-5.1184219810226486E-2</v>
      </c>
      <c r="K407" s="253">
        <v>0</v>
      </c>
      <c r="L407" s="250">
        <v>0.32183752725125914</v>
      </c>
      <c r="M407" s="250">
        <v>0.50421790426139479</v>
      </c>
      <c r="N407" s="250">
        <v>-0.77532500927957537</v>
      </c>
      <c r="O407" s="253">
        <v>0.20835516240911983</v>
      </c>
      <c r="P407" s="253">
        <v>0</v>
      </c>
      <c r="Q407" s="250">
        <v>0</v>
      </c>
      <c r="R407" s="253">
        <v>0</v>
      </c>
      <c r="S407" s="253">
        <v>0</v>
      </c>
      <c r="T407" s="253">
        <v>0</v>
      </c>
      <c r="U407" s="253">
        <v>-3.1598577963999619E-2</v>
      </c>
      <c r="V407" s="247"/>
    </row>
    <row r="408" spans="1:22">
      <c r="A408" s="242"/>
      <c r="B408" s="219" t="s">
        <v>812</v>
      </c>
      <c r="C408" s="239">
        <v>7.1130998879444199E-2</v>
      </c>
      <c r="D408" s="240">
        <v>0</v>
      </c>
      <c r="E408" s="240">
        <v>4.953953813855843E-2</v>
      </c>
      <c r="F408" s="240">
        <v>0</v>
      </c>
      <c r="G408" s="240">
        <v>0.10100639143737652</v>
      </c>
      <c r="H408" s="240">
        <v>0.12490288408920476</v>
      </c>
      <c r="I408" s="240">
        <v>0</v>
      </c>
      <c r="J408" s="241">
        <v>7.9229873917821686E-2</v>
      </c>
      <c r="K408" s="241">
        <v>0</v>
      </c>
      <c r="L408" s="240">
        <v>0.27794300640784159</v>
      </c>
      <c r="M408" s="240">
        <v>0.35310406825072271</v>
      </c>
      <c r="N408" s="240">
        <v>0.18021430004462879</v>
      </c>
      <c r="O408" s="241">
        <v>0.28783697314756346</v>
      </c>
      <c r="P408" s="241">
        <v>0</v>
      </c>
      <c r="Q408" s="240">
        <v>0</v>
      </c>
      <c r="R408" s="241">
        <v>0</v>
      </c>
      <c r="S408" s="241">
        <v>0</v>
      </c>
      <c r="T408" s="241">
        <v>0</v>
      </c>
      <c r="U408" s="241">
        <v>0.16540194849878198</v>
      </c>
      <c r="V408" s="247"/>
    </row>
    <row r="409" spans="1:22">
      <c r="A409" s="242"/>
      <c r="B409" s="243" t="s">
        <v>813</v>
      </c>
      <c r="C409" s="244">
        <v>8.754924965095795E-2</v>
      </c>
      <c r="D409" s="245">
        <v>0</v>
      </c>
      <c r="E409" s="245">
        <v>6.9142243589980112E-2</v>
      </c>
      <c r="F409" s="245">
        <v>0</v>
      </c>
      <c r="G409" s="245">
        <v>0.11688139810348136</v>
      </c>
      <c r="H409" s="245">
        <v>0.14632384269121759</v>
      </c>
      <c r="I409" s="245">
        <v>0</v>
      </c>
      <c r="J409" s="246">
        <v>9.6862448975125026E-2</v>
      </c>
      <c r="K409" s="246">
        <v>0</v>
      </c>
      <c r="L409" s="245">
        <v>0.31170182321451989</v>
      </c>
      <c r="M409" s="245">
        <v>0.34501911333590424</v>
      </c>
      <c r="N409" s="245">
        <v>0.1983605129205023</v>
      </c>
      <c r="O409" s="246">
        <v>0.3064692126968917</v>
      </c>
      <c r="P409" s="246">
        <v>0</v>
      </c>
      <c r="Q409" s="245">
        <v>0</v>
      </c>
      <c r="R409" s="246">
        <v>0</v>
      </c>
      <c r="S409" s="246">
        <v>0</v>
      </c>
      <c r="T409" s="246">
        <v>0</v>
      </c>
      <c r="U409" s="246">
        <v>0.18049825643570999</v>
      </c>
      <c r="V409" s="247"/>
    </row>
    <row r="410" spans="1:22">
      <c r="A410" s="242"/>
      <c r="B410" s="248" t="s">
        <v>814</v>
      </c>
      <c r="C410" s="249">
        <v>1.6418250771513752</v>
      </c>
      <c r="D410" s="250">
        <v>0</v>
      </c>
      <c r="E410" s="250">
        <v>1.9602705451421683</v>
      </c>
      <c r="F410" s="250">
        <v>0</v>
      </c>
      <c r="G410" s="250">
        <v>1.5875006666104836</v>
      </c>
      <c r="H410" s="250">
        <v>2.1420958602012834</v>
      </c>
      <c r="I410" s="250">
        <v>0</v>
      </c>
      <c r="J410" s="253">
        <v>1.7632575057303339</v>
      </c>
      <c r="K410" s="253">
        <v>0</v>
      </c>
      <c r="L410" s="250">
        <v>3.3758816806678302</v>
      </c>
      <c r="M410" s="250">
        <v>-0.80849549148184763</v>
      </c>
      <c r="N410" s="252">
        <v>1.8146212875873506</v>
      </c>
      <c r="O410" s="253">
        <v>1.8632239549328244</v>
      </c>
      <c r="P410" s="253">
        <v>0</v>
      </c>
      <c r="Q410" s="250">
        <v>0</v>
      </c>
      <c r="R410" s="253">
        <v>0</v>
      </c>
      <c r="S410" s="253">
        <v>0</v>
      </c>
      <c r="T410" s="253">
        <v>0</v>
      </c>
      <c r="U410" s="253">
        <v>1.5096307936928011</v>
      </c>
      <c r="V410" s="247"/>
    </row>
    <row r="411" spans="1:22">
      <c r="A411" s="242"/>
      <c r="B411" s="219" t="s">
        <v>815</v>
      </c>
      <c r="C411" s="239">
        <v>0</v>
      </c>
      <c r="D411" s="240">
        <v>0</v>
      </c>
      <c r="E411" s="240">
        <v>0</v>
      </c>
      <c r="F411" s="240">
        <v>0</v>
      </c>
      <c r="G411" s="240">
        <v>0</v>
      </c>
      <c r="H411" s="240">
        <v>0</v>
      </c>
      <c r="I411" s="240">
        <v>0</v>
      </c>
      <c r="J411" s="241">
        <v>0</v>
      </c>
      <c r="K411" s="241">
        <v>0</v>
      </c>
      <c r="L411" s="240">
        <v>0</v>
      </c>
      <c r="M411" s="240">
        <v>2.1589226538814073E-2</v>
      </c>
      <c r="N411" s="240">
        <v>1.2221735445489422E-2</v>
      </c>
      <c r="O411" s="241">
        <v>8.0289554715278575E-3</v>
      </c>
      <c r="P411" s="241">
        <v>0</v>
      </c>
      <c r="Q411" s="240">
        <v>0</v>
      </c>
      <c r="R411" s="241">
        <v>0</v>
      </c>
      <c r="S411" s="241">
        <v>0</v>
      </c>
      <c r="T411" s="241">
        <v>0</v>
      </c>
      <c r="U411" s="241">
        <v>3.3166260987970509E-3</v>
      </c>
      <c r="V411" s="247"/>
    </row>
    <row r="412" spans="1:22">
      <c r="A412" s="242"/>
      <c r="B412" s="243" t="s">
        <v>816</v>
      </c>
      <c r="C412" s="256">
        <v>8.7717374618977648E-6</v>
      </c>
      <c r="D412" s="245">
        <v>0</v>
      </c>
      <c r="E412" s="245">
        <v>0</v>
      </c>
      <c r="F412" s="245">
        <v>0</v>
      </c>
      <c r="G412" s="245">
        <v>0</v>
      </c>
      <c r="H412" s="254">
        <v>0</v>
      </c>
      <c r="I412" s="245">
        <v>0</v>
      </c>
      <c r="J412" s="246">
        <v>4.3774691662015601E-6</v>
      </c>
      <c r="K412" s="246">
        <v>0</v>
      </c>
      <c r="L412" s="245">
        <v>0</v>
      </c>
      <c r="M412" s="245">
        <v>2.7430725857479285E-2</v>
      </c>
      <c r="N412" s="245">
        <v>1.7689202699843601E-2</v>
      </c>
      <c r="O412" s="246">
        <v>1.0393750453287737E-2</v>
      </c>
      <c r="P412" s="246">
        <v>0</v>
      </c>
      <c r="Q412" s="245">
        <v>0</v>
      </c>
      <c r="R412" s="246">
        <v>0</v>
      </c>
      <c r="S412" s="246">
        <v>0</v>
      </c>
      <c r="T412" s="246">
        <v>0</v>
      </c>
      <c r="U412" s="246">
        <v>4.149871551072863E-3</v>
      </c>
      <c r="V412" s="247"/>
    </row>
    <row r="413" spans="1:22">
      <c r="A413" s="242"/>
      <c r="B413" s="248" t="s">
        <v>817</v>
      </c>
      <c r="C413" s="269">
        <v>0</v>
      </c>
      <c r="D413" s="250">
        <v>0</v>
      </c>
      <c r="E413" s="250">
        <v>0</v>
      </c>
      <c r="F413" s="250">
        <v>0</v>
      </c>
      <c r="G413" s="250">
        <v>0</v>
      </c>
      <c r="H413" s="252">
        <v>0</v>
      </c>
      <c r="I413" s="250">
        <v>0</v>
      </c>
      <c r="J413" s="253">
        <v>0</v>
      </c>
      <c r="K413" s="253">
        <v>0</v>
      </c>
      <c r="L413" s="250">
        <v>0</v>
      </c>
      <c r="M413" s="250">
        <v>0.5841499318665212</v>
      </c>
      <c r="N413" s="250">
        <v>0.5467467254354178</v>
      </c>
      <c r="O413" s="253">
        <v>0.23647949817598798</v>
      </c>
      <c r="P413" s="253">
        <v>0</v>
      </c>
      <c r="Q413" s="250">
        <v>0</v>
      </c>
      <c r="R413" s="253">
        <v>0</v>
      </c>
      <c r="S413" s="253">
        <v>0</v>
      </c>
      <c r="T413" s="253">
        <v>0</v>
      </c>
      <c r="U413" s="253">
        <v>8.3324545227581204E-2</v>
      </c>
      <c r="V413" s="247"/>
    </row>
    <row r="414" spans="1:22">
      <c r="A414" s="242"/>
      <c r="B414" s="219" t="s">
        <v>818</v>
      </c>
      <c r="C414" s="239">
        <v>0</v>
      </c>
      <c r="D414" s="240">
        <v>0</v>
      </c>
      <c r="E414" s="240">
        <v>0</v>
      </c>
      <c r="F414" s="240">
        <v>0</v>
      </c>
      <c r="G414" s="240">
        <v>0</v>
      </c>
      <c r="H414" s="240">
        <v>0</v>
      </c>
      <c r="I414" s="240">
        <v>0</v>
      </c>
      <c r="J414" s="241">
        <v>0</v>
      </c>
      <c r="K414" s="241">
        <v>0</v>
      </c>
      <c r="L414" s="240">
        <v>0</v>
      </c>
      <c r="M414" s="240">
        <v>0</v>
      </c>
      <c r="N414" s="240">
        <v>1.1411047466190627E-2</v>
      </c>
      <c r="O414" s="241">
        <v>1.4689620494418788E-3</v>
      </c>
      <c r="P414" s="241">
        <v>0</v>
      </c>
      <c r="Q414" s="240">
        <v>0</v>
      </c>
      <c r="R414" s="241">
        <v>0</v>
      </c>
      <c r="S414" s="241">
        <v>0</v>
      </c>
      <c r="T414" s="241">
        <v>0</v>
      </c>
      <c r="U414" s="241">
        <v>6.0680344891665336E-4</v>
      </c>
      <c r="V414" s="247"/>
    </row>
    <row r="415" spans="1:22">
      <c r="A415" s="242"/>
      <c r="B415" s="243" t="s">
        <v>819</v>
      </c>
      <c r="C415" s="256">
        <v>0</v>
      </c>
      <c r="D415" s="245">
        <v>0</v>
      </c>
      <c r="E415" s="245">
        <v>0</v>
      </c>
      <c r="F415" s="245">
        <v>0</v>
      </c>
      <c r="G415" s="245">
        <v>3.9703809580529252E-5</v>
      </c>
      <c r="H415" s="245">
        <v>0</v>
      </c>
      <c r="I415" s="245">
        <v>0</v>
      </c>
      <c r="J415" s="246">
        <v>6.5662037493023406E-6</v>
      </c>
      <c r="K415" s="246">
        <v>0</v>
      </c>
      <c r="L415" s="245">
        <v>0</v>
      </c>
      <c r="M415" s="245">
        <v>0</v>
      </c>
      <c r="N415" s="245">
        <v>0</v>
      </c>
      <c r="O415" s="246">
        <v>0</v>
      </c>
      <c r="P415" s="246">
        <v>0</v>
      </c>
      <c r="Q415" s="245">
        <v>0</v>
      </c>
      <c r="R415" s="246">
        <v>0</v>
      </c>
      <c r="S415" s="246">
        <v>0</v>
      </c>
      <c r="T415" s="246">
        <v>0</v>
      </c>
      <c r="U415" s="246">
        <v>3.9462035986746017E-6</v>
      </c>
      <c r="V415" s="247"/>
    </row>
    <row r="416" spans="1:22">
      <c r="A416" s="242"/>
      <c r="B416" s="248" t="s">
        <v>820</v>
      </c>
      <c r="C416" s="269">
        <v>0</v>
      </c>
      <c r="D416" s="250">
        <v>0</v>
      </c>
      <c r="E416" s="250">
        <v>0</v>
      </c>
      <c r="F416" s="250">
        <v>0</v>
      </c>
      <c r="G416" s="250">
        <v>0</v>
      </c>
      <c r="H416" s="250">
        <v>0</v>
      </c>
      <c r="I416" s="250">
        <v>0</v>
      </c>
      <c r="J416" s="253">
        <v>0</v>
      </c>
      <c r="K416" s="253">
        <v>0</v>
      </c>
      <c r="L416" s="250">
        <v>0</v>
      </c>
      <c r="M416" s="250">
        <v>0</v>
      </c>
      <c r="N416" s="250">
        <v>-1.1411047466190627</v>
      </c>
      <c r="O416" s="253">
        <v>-0.1468962049441879</v>
      </c>
      <c r="P416" s="253">
        <v>0</v>
      </c>
      <c r="Q416" s="250">
        <v>0</v>
      </c>
      <c r="R416" s="253">
        <v>0</v>
      </c>
      <c r="S416" s="253">
        <v>0</v>
      </c>
      <c r="T416" s="253">
        <v>0</v>
      </c>
      <c r="U416" s="253">
        <v>-6.0285724531797875E-2</v>
      </c>
      <c r="V416" s="247"/>
    </row>
    <row r="417" spans="1:22">
      <c r="A417" s="242"/>
      <c r="B417" s="219" t="s">
        <v>821</v>
      </c>
      <c r="C417" s="239">
        <v>0</v>
      </c>
      <c r="D417" s="240">
        <v>0</v>
      </c>
      <c r="E417" s="240">
        <v>0</v>
      </c>
      <c r="F417" s="240">
        <v>0</v>
      </c>
      <c r="G417" s="240">
        <v>0</v>
      </c>
      <c r="H417" s="240">
        <v>0</v>
      </c>
      <c r="I417" s="240">
        <v>0</v>
      </c>
      <c r="J417" s="241">
        <v>0</v>
      </c>
      <c r="K417" s="241">
        <v>0</v>
      </c>
      <c r="L417" s="240">
        <v>0</v>
      </c>
      <c r="M417" s="240">
        <v>0</v>
      </c>
      <c r="N417" s="240">
        <v>0</v>
      </c>
      <c r="O417" s="241">
        <v>0</v>
      </c>
      <c r="P417" s="241">
        <v>0</v>
      </c>
      <c r="Q417" s="240">
        <v>0</v>
      </c>
      <c r="R417" s="241">
        <v>0</v>
      </c>
      <c r="S417" s="241">
        <v>0</v>
      </c>
      <c r="T417" s="241">
        <v>0</v>
      </c>
      <c r="U417" s="241">
        <v>0</v>
      </c>
      <c r="V417" s="247"/>
    </row>
    <row r="418" spans="1:22">
      <c r="A418" s="242"/>
      <c r="B418" s="243" t="s">
        <v>822</v>
      </c>
      <c r="C418" s="244">
        <v>0</v>
      </c>
      <c r="D418" s="245">
        <v>0</v>
      </c>
      <c r="E418" s="245">
        <v>0</v>
      </c>
      <c r="F418" s="245">
        <v>0</v>
      </c>
      <c r="G418" s="245">
        <v>0</v>
      </c>
      <c r="H418" s="245">
        <v>0</v>
      </c>
      <c r="I418" s="245">
        <v>0</v>
      </c>
      <c r="J418" s="246">
        <v>0</v>
      </c>
      <c r="K418" s="246">
        <v>0</v>
      </c>
      <c r="L418" s="245">
        <v>0</v>
      </c>
      <c r="M418" s="245">
        <v>0</v>
      </c>
      <c r="N418" s="245">
        <v>0</v>
      </c>
      <c r="O418" s="246">
        <v>0</v>
      </c>
      <c r="P418" s="246">
        <v>0</v>
      </c>
      <c r="Q418" s="245">
        <v>0</v>
      </c>
      <c r="R418" s="246">
        <v>0</v>
      </c>
      <c r="S418" s="246">
        <v>0</v>
      </c>
      <c r="T418" s="246">
        <v>0</v>
      </c>
      <c r="U418" s="246">
        <v>0</v>
      </c>
      <c r="V418" s="247"/>
    </row>
    <row r="419" spans="1:22" ht="15.75" thickBot="1">
      <c r="A419" s="242"/>
      <c r="B419" s="257" t="s">
        <v>823</v>
      </c>
      <c r="C419" s="258">
        <v>0</v>
      </c>
      <c r="D419" s="259">
        <v>0</v>
      </c>
      <c r="E419" s="259">
        <v>0</v>
      </c>
      <c r="F419" s="259">
        <v>0</v>
      </c>
      <c r="G419" s="259">
        <v>0</v>
      </c>
      <c r="H419" s="259">
        <v>0</v>
      </c>
      <c r="I419" s="259">
        <v>0</v>
      </c>
      <c r="J419" s="260">
        <v>0</v>
      </c>
      <c r="K419" s="260">
        <v>0</v>
      </c>
      <c r="L419" s="259">
        <v>0</v>
      </c>
      <c r="M419" s="259">
        <v>0</v>
      </c>
      <c r="N419" s="259">
        <v>0</v>
      </c>
      <c r="O419" s="260">
        <v>0</v>
      </c>
      <c r="P419" s="260">
        <v>0</v>
      </c>
      <c r="Q419" s="259">
        <v>0</v>
      </c>
      <c r="R419" s="260">
        <v>0</v>
      </c>
      <c r="S419" s="260">
        <v>0</v>
      </c>
      <c r="T419" s="260">
        <v>0</v>
      </c>
      <c r="U419" s="260">
        <v>0</v>
      </c>
      <c r="V419" s="247"/>
    </row>
    <row r="420" spans="1:22" ht="15.75" thickTop="1">
      <c r="A420" s="242"/>
      <c r="B420" s="243" t="s">
        <v>824</v>
      </c>
      <c r="C420" s="244">
        <v>0.67635852924243589</v>
      </c>
      <c r="D420" s="245">
        <v>0</v>
      </c>
      <c r="E420" s="245">
        <v>0.72797285967751368</v>
      </c>
      <c r="F420" s="245">
        <v>0</v>
      </c>
      <c r="G420" s="245">
        <v>0.60379948795963045</v>
      </c>
      <c r="H420" s="245">
        <v>0.29492213947190249</v>
      </c>
      <c r="I420" s="245">
        <v>0</v>
      </c>
      <c r="J420" s="246">
        <v>0.67042765287669392</v>
      </c>
      <c r="K420" s="246">
        <v>0</v>
      </c>
      <c r="L420" s="245">
        <v>0</v>
      </c>
      <c r="M420" s="245">
        <v>0</v>
      </c>
      <c r="N420" s="245">
        <v>0</v>
      </c>
      <c r="O420" s="246">
        <v>0</v>
      </c>
      <c r="P420" s="246">
        <v>0</v>
      </c>
      <c r="Q420" s="245">
        <v>0</v>
      </c>
      <c r="R420" s="246">
        <v>0</v>
      </c>
      <c r="S420" s="246">
        <v>0</v>
      </c>
      <c r="T420" s="246">
        <v>0</v>
      </c>
      <c r="U420" s="246">
        <v>0.67042765287669392</v>
      </c>
      <c r="V420" s="247"/>
    </row>
    <row r="421" spans="1:22">
      <c r="A421" s="242"/>
      <c r="B421" s="243" t="s">
        <v>825</v>
      </c>
      <c r="C421" s="244">
        <v>0.68119454124813306</v>
      </c>
      <c r="D421" s="245">
        <v>0</v>
      </c>
      <c r="E421" s="245">
        <v>0.59485008818342155</v>
      </c>
      <c r="F421" s="245">
        <v>0</v>
      </c>
      <c r="G421" s="245">
        <v>0.56983426643431834</v>
      </c>
      <c r="H421" s="245">
        <v>0.34880860876249037</v>
      </c>
      <c r="I421" s="245">
        <v>0</v>
      </c>
      <c r="J421" s="246">
        <v>0.65588512416338995</v>
      </c>
      <c r="K421" s="246">
        <v>0</v>
      </c>
      <c r="L421" s="245">
        <v>0</v>
      </c>
      <c r="M421" s="245">
        <v>0</v>
      </c>
      <c r="N421" s="245">
        <v>0</v>
      </c>
      <c r="O421" s="246">
        <v>0</v>
      </c>
      <c r="P421" s="246">
        <v>0</v>
      </c>
      <c r="Q421" s="245">
        <v>0</v>
      </c>
      <c r="R421" s="246">
        <v>0</v>
      </c>
      <c r="S421" s="246">
        <v>0</v>
      </c>
      <c r="T421" s="246">
        <v>0</v>
      </c>
      <c r="U421" s="246">
        <v>0.65588512416338995</v>
      </c>
      <c r="V421" s="247"/>
    </row>
    <row r="422" spans="1:22">
      <c r="A422" s="242"/>
      <c r="B422" s="248" t="s">
        <v>826</v>
      </c>
      <c r="C422" s="249">
        <v>0.48360120056971656</v>
      </c>
      <c r="D422" s="250">
        <v>0</v>
      </c>
      <c r="E422" s="250">
        <v>-13.312277149409212</v>
      </c>
      <c r="F422" s="250">
        <v>0</v>
      </c>
      <c r="G422" s="250">
        <v>-3.3965221525312117</v>
      </c>
      <c r="H422" s="252">
        <v>5.3886469290587877</v>
      </c>
      <c r="I422" s="250">
        <v>0</v>
      </c>
      <c r="J422" s="253">
        <v>-1.454252871330397</v>
      </c>
      <c r="K422" s="253">
        <v>0</v>
      </c>
      <c r="L422" s="250">
        <v>0</v>
      </c>
      <c r="M422" s="250">
        <v>0</v>
      </c>
      <c r="N422" s="250">
        <v>0</v>
      </c>
      <c r="O422" s="253">
        <v>0</v>
      </c>
      <c r="P422" s="253">
        <v>0</v>
      </c>
      <c r="Q422" s="250">
        <v>0</v>
      </c>
      <c r="R422" s="253">
        <v>0</v>
      </c>
      <c r="S422" s="253">
        <v>0</v>
      </c>
      <c r="T422" s="253">
        <v>0</v>
      </c>
      <c r="U422" s="253">
        <v>-1.454252871330397</v>
      </c>
      <c r="V422" s="247"/>
    </row>
    <row r="423" spans="1:22">
      <c r="A423" s="242"/>
      <c r="B423" s="219" t="s">
        <v>827</v>
      </c>
      <c r="C423" s="239">
        <v>0.10234944243370993</v>
      </c>
      <c r="D423" s="240">
        <v>0</v>
      </c>
      <c r="E423" s="240">
        <v>0.1354871414923278</v>
      </c>
      <c r="F423" s="240">
        <v>0</v>
      </c>
      <c r="G423" s="240">
        <v>4.8235686987495828E-2</v>
      </c>
      <c r="H423" s="240">
        <v>0</v>
      </c>
      <c r="I423" s="240">
        <v>0</v>
      </c>
      <c r="J423" s="241">
        <v>0.10091312986983993</v>
      </c>
      <c r="K423" s="241">
        <v>0</v>
      </c>
      <c r="L423" s="240">
        <v>0</v>
      </c>
      <c r="M423" s="240">
        <v>0</v>
      </c>
      <c r="N423" s="240">
        <v>0</v>
      </c>
      <c r="O423" s="241">
        <v>0</v>
      </c>
      <c r="P423" s="241">
        <v>0</v>
      </c>
      <c r="Q423" s="240">
        <v>0</v>
      </c>
      <c r="R423" s="241">
        <v>0</v>
      </c>
      <c r="S423" s="241">
        <v>0</v>
      </c>
      <c r="T423" s="241">
        <v>0</v>
      </c>
      <c r="U423" s="241">
        <v>0.10091312986983993</v>
      </c>
      <c r="V423" s="247"/>
    </row>
    <row r="424" spans="1:22">
      <c r="A424" s="242"/>
      <c r="B424" s="243" t="s">
        <v>828</v>
      </c>
      <c r="C424" s="244">
        <v>0.10395495944006794</v>
      </c>
      <c r="D424" s="245">
        <v>0</v>
      </c>
      <c r="E424" s="245">
        <v>0.139564961787184</v>
      </c>
      <c r="F424" s="245">
        <v>0</v>
      </c>
      <c r="G424" s="245">
        <v>5.0609914352452635E-2</v>
      </c>
      <c r="H424" s="245">
        <v>0</v>
      </c>
      <c r="I424" s="245">
        <v>0</v>
      </c>
      <c r="J424" s="246">
        <v>0.10223468326951661</v>
      </c>
      <c r="K424" s="246">
        <v>0</v>
      </c>
      <c r="L424" s="245">
        <v>0</v>
      </c>
      <c r="M424" s="245">
        <v>0</v>
      </c>
      <c r="N424" s="245">
        <v>0</v>
      </c>
      <c r="O424" s="246">
        <v>0</v>
      </c>
      <c r="P424" s="246">
        <v>0</v>
      </c>
      <c r="Q424" s="245">
        <v>0</v>
      </c>
      <c r="R424" s="246">
        <v>0</v>
      </c>
      <c r="S424" s="246">
        <v>0</v>
      </c>
      <c r="T424" s="246">
        <v>0</v>
      </c>
      <c r="U424" s="246">
        <v>0.10223468326951661</v>
      </c>
      <c r="V424" s="247"/>
    </row>
    <row r="425" spans="1:22">
      <c r="A425" s="242"/>
      <c r="B425" s="248" t="s">
        <v>829</v>
      </c>
      <c r="C425" s="249">
        <v>0.16055170063580121</v>
      </c>
      <c r="D425" s="250">
        <v>0</v>
      </c>
      <c r="E425" s="250">
        <v>0.40778202948562048</v>
      </c>
      <c r="F425" s="250">
        <v>0</v>
      </c>
      <c r="G425" s="250">
        <v>0.23742273649568074</v>
      </c>
      <c r="H425" s="250">
        <v>0</v>
      </c>
      <c r="I425" s="250">
        <v>0</v>
      </c>
      <c r="J425" s="253">
        <v>0.13215533996766837</v>
      </c>
      <c r="K425" s="253">
        <v>0</v>
      </c>
      <c r="L425" s="250">
        <v>0</v>
      </c>
      <c r="M425" s="250">
        <v>0</v>
      </c>
      <c r="N425" s="250">
        <v>0</v>
      </c>
      <c r="O425" s="253">
        <v>0</v>
      </c>
      <c r="P425" s="253">
        <v>0</v>
      </c>
      <c r="Q425" s="250">
        <v>0</v>
      </c>
      <c r="R425" s="253">
        <v>0</v>
      </c>
      <c r="S425" s="253">
        <v>0</v>
      </c>
      <c r="T425" s="253">
        <v>0</v>
      </c>
      <c r="U425" s="253">
        <v>0.13215533996766837</v>
      </c>
      <c r="V425" s="247"/>
    </row>
    <row r="426" spans="1:22">
      <c r="A426" s="242"/>
      <c r="B426" s="219" t="s">
        <v>830</v>
      </c>
      <c r="C426" s="239">
        <v>0.19054795876833039</v>
      </c>
      <c r="D426" s="240">
        <v>0</v>
      </c>
      <c r="E426" s="240">
        <v>0.13653999883015852</v>
      </c>
      <c r="F426" s="240">
        <v>0</v>
      </c>
      <c r="G426" s="240">
        <v>0.34796482505287374</v>
      </c>
      <c r="H426" s="240">
        <v>0.70507786052809751</v>
      </c>
      <c r="I426" s="240">
        <v>0</v>
      </c>
      <c r="J426" s="241">
        <v>0.20526165970842356</v>
      </c>
      <c r="K426" s="241">
        <v>0</v>
      </c>
      <c r="L426" s="240">
        <v>0</v>
      </c>
      <c r="M426" s="240">
        <v>0</v>
      </c>
      <c r="N426" s="240">
        <v>0</v>
      </c>
      <c r="O426" s="241">
        <v>0</v>
      </c>
      <c r="P426" s="241">
        <v>0</v>
      </c>
      <c r="Q426" s="240">
        <v>0</v>
      </c>
      <c r="R426" s="241">
        <v>0</v>
      </c>
      <c r="S426" s="241">
        <v>0</v>
      </c>
      <c r="T426" s="241">
        <v>0</v>
      </c>
      <c r="U426" s="241">
        <v>0.20526165970842356</v>
      </c>
      <c r="V426" s="247"/>
    </row>
    <row r="427" spans="1:22">
      <c r="A427" s="242"/>
      <c r="B427" s="243" t="s">
        <v>831</v>
      </c>
      <c r="C427" s="244">
        <v>0.19380911939555451</v>
      </c>
      <c r="D427" s="245">
        <v>0</v>
      </c>
      <c r="E427" s="245">
        <v>0.26558495002939447</v>
      </c>
      <c r="F427" s="245">
        <v>0</v>
      </c>
      <c r="G427" s="245">
        <v>0.37955581921322901</v>
      </c>
      <c r="H427" s="245">
        <v>0.65119139123750958</v>
      </c>
      <c r="I427" s="245">
        <v>0</v>
      </c>
      <c r="J427" s="246">
        <v>0.2254186272291703</v>
      </c>
      <c r="K427" s="246">
        <v>0</v>
      </c>
      <c r="L427" s="245">
        <v>0</v>
      </c>
      <c r="M427" s="245">
        <v>0</v>
      </c>
      <c r="N427" s="245">
        <v>0</v>
      </c>
      <c r="O427" s="246">
        <v>0</v>
      </c>
      <c r="P427" s="246">
        <v>0</v>
      </c>
      <c r="Q427" s="245">
        <v>0</v>
      </c>
      <c r="R427" s="246">
        <v>0</v>
      </c>
      <c r="S427" s="246">
        <v>0</v>
      </c>
      <c r="T427" s="246">
        <v>0</v>
      </c>
      <c r="U427" s="246">
        <v>0.2254186272291703</v>
      </c>
      <c r="V427" s="247"/>
    </row>
    <row r="428" spans="1:22">
      <c r="A428" s="242"/>
      <c r="B428" s="248" t="s">
        <v>832</v>
      </c>
      <c r="C428" s="249">
        <v>0.32611606272241189</v>
      </c>
      <c r="D428" s="250">
        <v>0</v>
      </c>
      <c r="E428" s="250">
        <v>12.904495119923595</v>
      </c>
      <c r="F428" s="250">
        <v>0</v>
      </c>
      <c r="G428" s="250">
        <v>3.1590994160355268</v>
      </c>
      <c r="H428" s="252">
        <v>-5.3886469290587939</v>
      </c>
      <c r="I428" s="250">
        <v>0</v>
      </c>
      <c r="J428" s="253">
        <v>2.0156967520746747</v>
      </c>
      <c r="K428" s="253">
        <v>0</v>
      </c>
      <c r="L428" s="250">
        <v>0</v>
      </c>
      <c r="M428" s="250">
        <v>0</v>
      </c>
      <c r="N428" s="250">
        <v>0</v>
      </c>
      <c r="O428" s="253">
        <v>0</v>
      </c>
      <c r="P428" s="253">
        <v>0</v>
      </c>
      <c r="Q428" s="250">
        <v>0</v>
      </c>
      <c r="R428" s="253">
        <v>0</v>
      </c>
      <c r="S428" s="253">
        <v>0</v>
      </c>
      <c r="T428" s="253">
        <v>0</v>
      </c>
      <c r="U428" s="253">
        <v>2.0156967520746747</v>
      </c>
      <c r="V428" s="247"/>
    </row>
    <row r="429" spans="1:22">
      <c r="A429" s="242"/>
      <c r="B429" s="219" t="s">
        <v>833</v>
      </c>
      <c r="C429" s="239">
        <v>3.0062008852121173E-2</v>
      </c>
      <c r="D429" s="240">
        <v>0</v>
      </c>
      <c r="E429" s="240">
        <v>0</v>
      </c>
      <c r="F429" s="240">
        <v>0</v>
      </c>
      <c r="G429" s="240">
        <v>0</v>
      </c>
      <c r="H429" s="240">
        <v>0</v>
      </c>
      <c r="I429" s="240">
        <v>0</v>
      </c>
      <c r="J429" s="241">
        <v>2.2878480051796119E-2</v>
      </c>
      <c r="K429" s="241">
        <v>0</v>
      </c>
      <c r="L429" s="240">
        <v>0</v>
      </c>
      <c r="M429" s="240">
        <v>0</v>
      </c>
      <c r="N429" s="240">
        <v>0</v>
      </c>
      <c r="O429" s="241">
        <v>0</v>
      </c>
      <c r="P429" s="241">
        <v>0</v>
      </c>
      <c r="Q429" s="240">
        <v>0</v>
      </c>
      <c r="R429" s="241">
        <v>0</v>
      </c>
      <c r="S429" s="241">
        <v>0</v>
      </c>
      <c r="T429" s="241">
        <v>0</v>
      </c>
      <c r="U429" s="241">
        <v>2.2878480051796119E-2</v>
      </c>
      <c r="V429" s="247"/>
    </row>
    <row r="430" spans="1:22">
      <c r="A430" s="242"/>
      <c r="B430" s="243" t="s">
        <v>834</v>
      </c>
      <c r="C430" s="244">
        <v>2.1041379916244472E-2</v>
      </c>
      <c r="D430" s="245">
        <v>0</v>
      </c>
      <c r="E430" s="245">
        <v>0</v>
      </c>
      <c r="F430" s="245">
        <v>0</v>
      </c>
      <c r="G430" s="245">
        <v>0</v>
      </c>
      <c r="H430" s="254">
        <v>0</v>
      </c>
      <c r="I430" s="245">
        <v>0</v>
      </c>
      <c r="J430" s="246">
        <v>1.6461565337923173E-2</v>
      </c>
      <c r="K430" s="246">
        <v>0</v>
      </c>
      <c r="L430" s="245">
        <v>0</v>
      </c>
      <c r="M430" s="245">
        <v>0</v>
      </c>
      <c r="N430" s="245">
        <v>0</v>
      </c>
      <c r="O430" s="246">
        <v>0</v>
      </c>
      <c r="P430" s="246">
        <v>0</v>
      </c>
      <c r="Q430" s="245">
        <v>0</v>
      </c>
      <c r="R430" s="246">
        <v>0</v>
      </c>
      <c r="S430" s="246">
        <v>0</v>
      </c>
      <c r="T430" s="246">
        <v>0</v>
      </c>
      <c r="U430" s="246">
        <v>1.6461565337923173E-2</v>
      </c>
      <c r="V430" s="247"/>
    </row>
    <row r="431" spans="1:22">
      <c r="A431" s="242"/>
      <c r="B431" s="248" t="s">
        <v>835</v>
      </c>
      <c r="C431" s="249">
        <v>-0.90206289358767022</v>
      </c>
      <c r="D431" s="250">
        <v>0</v>
      </c>
      <c r="E431" s="250">
        <v>0</v>
      </c>
      <c r="F431" s="250">
        <v>0</v>
      </c>
      <c r="G431" s="250">
        <v>0</v>
      </c>
      <c r="H431" s="252">
        <v>0</v>
      </c>
      <c r="I431" s="250">
        <v>0</v>
      </c>
      <c r="J431" s="253">
        <v>-0.64169147138729465</v>
      </c>
      <c r="K431" s="253">
        <v>0</v>
      </c>
      <c r="L431" s="250">
        <v>0</v>
      </c>
      <c r="M431" s="250">
        <v>0</v>
      </c>
      <c r="N431" s="250">
        <v>0</v>
      </c>
      <c r="O431" s="253">
        <v>0</v>
      </c>
      <c r="P431" s="253">
        <v>0</v>
      </c>
      <c r="Q431" s="250">
        <v>0</v>
      </c>
      <c r="R431" s="253">
        <v>0</v>
      </c>
      <c r="S431" s="253">
        <v>0</v>
      </c>
      <c r="T431" s="253">
        <v>0</v>
      </c>
      <c r="U431" s="253">
        <v>-0.64169147138729465</v>
      </c>
      <c r="V431" s="247"/>
    </row>
    <row r="432" spans="1:22">
      <c r="A432" s="242"/>
      <c r="B432" s="219" t="s">
        <v>836</v>
      </c>
      <c r="C432" s="239">
        <v>6.8206070340260283E-4</v>
      </c>
      <c r="D432" s="240">
        <v>0</v>
      </c>
      <c r="E432" s="240">
        <v>0</v>
      </c>
      <c r="F432" s="240">
        <v>0</v>
      </c>
      <c r="G432" s="240">
        <v>0</v>
      </c>
      <c r="H432" s="240">
        <v>0</v>
      </c>
      <c r="I432" s="240">
        <v>0</v>
      </c>
      <c r="J432" s="241">
        <v>5.1907749324641111E-4</v>
      </c>
      <c r="K432" s="241">
        <v>0</v>
      </c>
      <c r="L432" s="240">
        <v>0</v>
      </c>
      <c r="M432" s="240">
        <v>0</v>
      </c>
      <c r="N432" s="240">
        <v>0</v>
      </c>
      <c r="O432" s="241">
        <v>0</v>
      </c>
      <c r="P432" s="241">
        <v>0</v>
      </c>
      <c r="Q432" s="240">
        <v>0</v>
      </c>
      <c r="R432" s="241">
        <v>0</v>
      </c>
      <c r="S432" s="241">
        <v>0</v>
      </c>
      <c r="T432" s="241">
        <v>0</v>
      </c>
      <c r="U432" s="241">
        <v>5.1907749324641111E-4</v>
      </c>
      <c r="V432" s="247"/>
    </row>
    <row r="433" spans="1:22">
      <c r="A433" s="242"/>
      <c r="B433" s="243" t="s">
        <v>837</v>
      </c>
      <c r="C433" s="244">
        <v>0</v>
      </c>
      <c r="D433" s="245">
        <v>0</v>
      </c>
      <c r="E433" s="245">
        <v>0</v>
      </c>
      <c r="F433" s="245">
        <v>0</v>
      </c>
      <c r="G433" s="245">
        <v>0</v>
      </c>
      <c r="H433" s="254">
        <v>0</v>
      </c>
      <c r="I433" s="245">
        <v>0</v>
      </c>
      <c r="J433" s="246">
        <v>0</v>
      </c>
      <c r="K433" s="246">
        <v>0</v>
      </c>
      <c r="L433" s="245">
        <v>0</v>
      </c>
      <c r="M433" s="245">
        <v>0</v>
      </c>
      <c r="N433" s="245">
        <v>0</v>
      </c>
      <c r="O433" s="246">
        <v>0</v>
      </c>
      <c r="P433" s="246">
        <v>0</v>
      </c>
      <c r="Q433" s="245">
        <v>0</v>
      </c>
      <c r="R433" s="246">
        <v>0</v>
      </c>
      <c r="S433" s="246">
        <v>0</v>
      </c>
      <c r="T433" s="246">
        <v>0</v>
      </c>
      <c r="U433" s="246">
        <v>0</v>
      </c>
      <c r="V433" s="247"/>
    </row>
    <row r="434" spans="1:22">
      <c r="A434" s="242"/>
      <c r="B434" s="248" t="s">
        <v>838</v>
      </c>
      <c r="C434" s="249">
        <v>-6.8206070340260286E-2</v>
      </c>
      <c r="D434" s="250">
        <v>0</v>
      </c>
      <c r="E434" s="250">
        <v>0</v>
      </c>
      <c r="F434" s="250">
        <v>0</v>
      </c>
      <c r="G434" s="250">
        <v>0</v>
      </c>
      <c r="H434" s="250">
        <v>0</v>
      </c>
      <c r="I434" s="250">
        <v>0</v>
      </c>
      <c r="J434" s="253">
        <v>-5.1907749324641109E-2</v>
      </c>
      <c r="K434" s="253">
        <v>0</v>
      </c>
      <c r="L434" s="250">
        <v>0</v>
      </c>
      <c r="M434" s="250">
        <v>0</v>
      </c>
      <c r="N434" s="250">
        <v>0</v>
      </c>
      <c r="O434" s="253">
        <v>0</v>
      </c>
      <c r="P434" s="253">
        <v>0</v>
      </c>
      <c r="Q434" s="250">
        <v>0</v>
      </c>
      <c r="R434" s="253">
        <v>0</v>
      </c>
      <c r="S434" s="253">
        <v>0</v>
      </c>
      <c r="T434" s="253">
        <v>0</v>
      </c>
      <c r="U434" s="253">
        <v>-5.1907749324641109E-2</v>
      </c>
      <c r="V434" s="247"/>
    </row>
    <row r="435" spans="1:22">
      <c r="A435" s="242"/>
      <c r="B435" s="219" t="s">
        <v>839</v>
      </c>
      <c r="C435" s="239">
        <v>0</v>
      </c>
      <c r="D435" s="240">
        <v>0</v>
      </c>
      <c r="E435" s="240">
        <v>0</v>
      </c>
      <c r="F435" s="240">
        <v>0</v>
      </c>
      <c r="G435" s="240">
        <v>0</v>
      </c>
      <c r="H435" s="240">
        <v>0</v>
      </c>
      <c r="I435" s="240">
        <v>0</v>
      </c>
      <c r="J435" s="241">
        <v>0</v>
      </c>
      <c r="K435" s="241">
        <v>0</v>
      </c>
      <c r="L435" s="240">
        <v>0</v>
      </c>
      <c r="M435" s="240">
        <v>0</v>
      </c>
      <c r="N435" s="240">
        <v>0</v>
      </c>
      <c r="O435" s="241">
        <v>0</v>
      </c>
      <c r="P435" s="241">
        <v>0</v>
      </c>
      <c r="Q435" s="240">
        <v>0</v>
      </c>
      <c r="R435" s="241">
        <v>0</v>
      </c>
      <c r="S435" s="241">
        <v>0</v>
      </c>
      <c r="T435" s="241">
        <v>0</v>
      </c>
      <c r="U435" s="241">
        <v>0</v>
      </c>
      <c r="V435" s="247"/>
    </row>
    <row r="436" spans="1:22">
      <c r="A436" s="242"/>
      <c r="B436" s="243" t="s">
        <v>840</v>
      </c>
      <c r="C436" s="244">
        <v>0</v>
      </c>
      <c r="D436" s="245">
        <v>0</v>
      </c>
      <c r="E436" s="245">
        <v>0</v>
      </c>
      <c r="F436" s="245">
        <v>0</v>
      </c>
      <c r="G436" s="245">
        <v>0</v>
      </c>
      <c r="H436" s="245">
        <v>0</v>
      </c>
      <c r="I436" s="245">
        <v>0</v>
      </c>
      <c r="J436" s="246">
        <v>0</v>
      </c>
      <c r="K436" s="246">
        <v>0</v>
      </c>
      <c r="L436" s="245">
        <v>0</v>
      </c>
      <c r="M436" s="245">
        <v>0</v>
      </c>
      <c r="N436" s="245">
        <v>0</v>
      </c>
      <c r="O436" s="246">
        <v>0</v>
      </c>
      <c r="P436" s="246">
        <v>0</v>
      </c>
      <c r="Q436" s="245">
        <v>0</v>
      </c>
      <c r="R436" s="246">
        <v>0</v>
      </c>
      <c r="S436" s="246">
        <v>0</v>
      </c>
      <c r="T436" s="246">
        <v>0</v>
      </c>
      <c r="U436" s="246">
        <v>0</v>
      </c>
      <c r="V436" s="247"/>
    </row>
    <row r="437" spans="1:22" ht="15.75" thickBot="1">
      <c r="A437" s="261"/>
      <c r="B437" s="262" t="s">
        <v>841</v>
      </c>
      <c r="C437" s="263">
        <v>0</v>
      </c>
      <c r="D437" s="264">
        <v>0</v>
      </c>
      <c r="E437" s="264">
        <v>0</v>
      </c>
      <c r="F437" s="264">
        <v>0</v>
      </c>
      <c r="G437" s="264">
        <v>0</v>
      </c>
      <c r="H437" s="264">
        <v>0</v>
      </c>
      <c r="I437" s="264">
        <v>0</v>
      </c>
      <c r="J437" s="265">
        <v>0</v>
      </c>
      <c r="K437" s="265">
        <v>0</v>
      </c>
      <c r="L437" s="264">
        <v>0</v>
      </c>
      <c r="M437" s="264">
        <v>0</v>
      </c>
      <c r="N437" s="264">
        <v>0</v>
      </c>
      <c r="O437" s="265">
        <v>0</v>
      </c>
      <c r="P437" s="265">
        <v>0</v>
      </c>
      <c r="Q437" s="264">
        <v>0</v>
      </c>
      <c r="R437" s="265">
        <v>0</v>
      </c>
      <c r="S437" s="265">
        <v>0</v>
      </c>
      <c r="T437" s="265">
        <v>0</v>
      </c>
      <c r="U437" s="265">
        <v>0</v>
      </c>
      <c r="V437" s="247"/>
    </row>
    <row r="438" spans="1:22">
      <c r="A438" s="238" t="s">
        <v>524</v>
      </c>
      <c r="B438" s="219" t="s">
        <v>806</v>
      </c>
      <c r="C438" s="239">
        <v>0.85279746768538689</v>
      </c>
      <c r="D438" s="240">
        <v>0.76851999840172613</v>
      </c>
      <c r="E438" s="240">
        <v>0.70141765584690718</v>
      </c>
      <c r="F438" s="240">
        <v>0</v>
      </c>
      <c r="G438" s="240">
        <v>0.8251266535737245</v>
      </c>
      <c r="H438" s="240">
        <v>0</v>
      </c>
      <c r="I438" s="240">
        <v>0</v>
      </c>
      <c r="J438" s="241">
        <v>0.78333566120729614</v>
      </c>
      <c r="K438" s="241">
        <v>0</v>
      </c>
      <c r="L438" s="240">
        <v>0.52919939950577488</v>
      </c>
      <c r="M438" s="240">
        <v>0.39752539253036684</v>
      </c>
      <c r="N438" s="240">
        <v>0.3391736924121948</v>
      </c>
      <c r="O438" s="241">
        <v>0.4659217230303902</v>
      </c>
      <c r="P438" s="241">
        <v>0</v>
      </c>
      <c r="Q438" s="240">
        <v>0</v>
      </c>
      <c r="R438" s="241">
        <v>0</v>
      </c>
      <c r="S438" s="241">
        <v>0</v>
      </c>
      <c r="T438" s="241">
        <v>0</v>
      </c>
      <c r="U438" s="241">
        <v>0.66945836290363669</v>
      </c>
      <c r="V438" s="247"/>
    </row>
    <row r="439" spans="1:22">
      <c r="A439" s="242"/>
      <c r="B439" s="243" t="s">
        <v>807</v>
      </c>
      <c r="C439" s="244">
        <v>0.83925542379576634</v>
      </c>
      <c r="D439" s="245">
        <v>0.75861404592197346</v>
      </c>
      <c r="E439" s="245">
        <v>0.69138411108629139</v>
      </c>
      <c r="F439" s="245">
        <v>0</v>
      </c>
      <c r="G439" s="245">
        <v>0.80365580020796468</v>
      </c>
      <c r="H439" s="245">
        <v>0</v>
      </c>
      <c r="I439" s="245">
        <v>0</v>
      </c>
      <c r="J439" s="246">
        <v>0.77179566703933766</v>
      </c>
      <c r="K439" s="246">
        <v>0</v>
      </c>
      <c r="L439" s="245">
        <v>0.41945332011164976</v>
      </c>
      <c r="M439" s="245">
        <v>0.35478563286858772</v>
      </c>
      <c r="N439" s="245">
        <v>0.30996956011380139</v>
      </c>
      <c r="O439" s="246">
        <v>0.38738337525657141</v>
      </c>
      <c r="P439" s="246">
        <v>0</v>
      </c>
      <c r="Q439" s="245">
        <v>0</v>
      </c>
      <c r="R439" s="246">
        <v>0</v>
      </c>
      <c r="S439" s="246">
        <v>0</v>
      </c>
      <c r="T439" s="246">
        <v>0</v>
      </c>
      <c r="U439" s="246">
        <v>0.63351049115988511</v>
      </c>
      <c r="V439" s="247"/>
    </row>
    <row r="440" spans="1:22">
      <c r="A440" s="242"/>
      <c r="B440" s="248" t="s">
        <v>808</v>
      </c>
      <c r="C440" s="249">
        <v>-1.3542043889620548</v>
      </c>
      <c r="D440" s="250">
        <v>-0.99059524797526777</v>
      </c>
      <c r="E440" s="250">
        <v>-1.0033544760615798</v>
      </c>
      <c r="F440" s="250">
        <v>0</v>
      </c>
      <c r="G440" s="250">
        <v>-2.1470853365759823</v>
      </c>
      <c r="H440" s="250">
        <v>0</v>
      </c>
      <c r="I440" s="250">
        <v>0</v>
      </c>
      <c r="J440" s="253">
        <v>-1.1539994167958478</v>
      </c>
      <c r="K440" s="253">
        <v>0</v>
      </c>
      <c r="L440" s="250">
        <v>-10.974607939412511</v>
      </c>
      <c r="M440" s="250">
        <v>-4.273975966177912</v>
      </c>
      <c r="N440" s="250">
        <v>-2.9204132298393413</v>
      </c>
      <c r="O440" s="253">
        <v>-7.8538347773818797</v>
      </c>
      <c r="P440" s="253">
        <v>0</v>
      </c>
      <c r="Q440" s="250">
        <v>0</v>
      </c>
      <c r="R440" s="253">
        <v>0</v>
      </c>
      <c r="S440" s="253">
        <v>0</v>
      </c>
      <c r="T440" s="253">
        <v>0</v>
      </c>
      <c r="U440" s="253">
        <v>-3.594787174375158</v>
      </c>
      <c r="V440" s="247"/>
    </row>
    <row r="441" spans="1:22">
      <c r="A441" s="242"/>
      <c r="B441" s="219" t="s">
        <v>809</v>
      </c>
      <c r="C441" s="239">
        <v>1.5181946491738069E-2</v>
      </c>
      <c r="D441" s="240">
        <v>2.9369281176329563E-2</v>
      </c>
      <c r="E441" s="240">
        <v>1.7041412757995613E-2</v>
      </c>
      <c r="F441" s="240">
        <v>0</v>
      </c>
      <c r="G441" s="240">
        <v>4.1667403881880428E-2</v>
      </c>
      <c r="H441" s="240">
        <v>0</v>
      </c>
      <c r="I441" s="240">
        <v>0</v>
      </c>
      <c r="J441" s="241">
        <v>2.1972768597857413E-2</v>
      </c>
      <c r="K441" s="241">
        <v>0</v>
      </c>
      <c r="L441" s="240">
        <v>0.22224623997926676</v>
      </c>
      <c r="M441" s="240">
        <v>0.33970728045689308</v>
      </c>
      <c r="N441" s="240">
        <v>0.39555280297278939</v>
      </c>
      <c r="O441" s="241">
        <v>0.27880815048175012</v>
      </c>
      <c r="P441" s="241">
        <v>0</v>
      </c>
      <c r="Q441" s="240">
        <v>0</v>
      </c>
      <c r="R441" s="241">
        <v>0</v>
      </c>
      <c r="S441" s="241">
        <v>0</v>
      </c>
      <c r="T441" s="241">
        <v>0</v>
      </c>
      <c r="U441" s="241">
        <v>0.11411654642221233</v>
      </c>
      <c r="V441" s="247"/>
    </row>
    <row r="442" spans="1:22">
      <c r="A442" s="242"/>
      <c r="B442" s="243" t="s">
        <v>810</v>
      </c>
      <c r="C442" s="244">
        <v>1.8083837437164522E-2</v>
      </c>
      <c r="D442" s="245">
        <v>3.5022019954347762E-2</v>
      </c>
      <c r="E442" s="245">
        <v>2.2145569587374479E-2</v>
      </c>
      <c r="F442" s="245">
        <v>0</v>
      </c>
      <c r="G442" s="245">
        <v>4.3952301901478252E-2</v>
      </c>
      <c r="H442" s="245">
        <v>0</v>
      </c>
      <c r="I442" s="245">
        <v>0</v>
      </c>
      <c r="J442" s="246">
        <v>2.6238769928361844E-2</v>
      </c>
      <c r="K442" s="246">
        <v>0</v>
      </c>
      <c r="L442" s="245">
        <v>0.31927152196268549</v>
      </c>
      <c r="M442" s="245">
        <v>0.36921321238291571</v>
      </c>
      <c r="N442" s="245">
        <v>0.41294789407715415</v>
      </c>
      <c r="O442" s="246">
        <v>0.34431493170348959</v>
      </c>
      <c r="P442" s="246">
        <v>0</v>
      </c>
      <c r="Q442" s="245">
        <v>0</v>
      </c>
      <c r="R442" s="246">
        <v>0</v>
      </c>
      <c r="S442" s="246">
        <v>0</v>
      </c>
      <c r="T442" s="246">
        <v>0</v>
      </c>
      <c r="U442" s="246">
        <v>0.14066075620290858</v>
      </c>
      <c r="V442" s="247"/>
    </row>
    <row r="443" spans="1:22">
      <c r="A443" s="242"/>
      <c r="B443" s="248" t="s">
        <v>811</v>
      </c>
      <c r="C443" s="249">
        <v>0.2901890945426453</v>
      </c>
      <c r="D443" s="250">
        <v>0.56527387780181992</v>
      </c>
      <c r="E443" s="250">
        <v>0.51041568293788664</v>
      </c>
      <c r="F443" s="250">
        <v>0</v>
      </c>
      <c r="G443" s="250">
        <v>0.22848980195978238</v>
      </c>
      <c r="H443" s="250">
        <v>0</v>
      </c>
      <c r="I443" s="250">
        <v>0</v>
      </c>
      <c r="J443" s="253">
        <v>0.42660013305044314</v>
      </c>
      <c r="K443" s="253">
        <v>0</v>
      </c>
      <c r="L443" s="250">
        <v>9.7025281983418719</v>
      </c>
      <c r="M443" s="250">
        <v>2.9505931926022635</v>
      </c>
      <c r="N443" s="250">
        <v>1.7395091104364768</v>
      </c>
      <c r="O443" s="253">
        <v>6.550678122173947</v>
      </c>
      <c r="P443" s="253">
        <v>0</v>
      </c>
      <c r="Q443" s="250">
        <v>0</v>
      </c>
      <c r="R443" s="253">
        <v>0</v>
      </c>
      <c r="S443" s="253">
        <v>0</v>
      </c>
      <c r="T443" s="253">
        <v>0</v>
      </c>
      <c r="U443" s="253">
        <v>2.6544209780696244</v>
      </c>
      <c r="V443" s="247"/>
    </row>
    <row r="444" spans="1:22">
      <c r="A444" s="242"/>
      <c r="B444" s="219" t="s">
        <v>812</v>
      </c>
      <c r="C444" s="239">
        <v>9.4662289536584079E-2</v>
      </c>
      <c r="D444" s="240">
        <v>0.15275302673113039</v>
      </c>
      <c r="E444" s="240">
        <v>0.1656484405267393</v>
      </c>
      <c r="F444" s="240">
        <v>0</v>
      </c>
      <c r="G444" s="240">
        <v>0.10700826270811585</v>
      </c>
      <c r="H444" s="240">
        <v>0</v>
      </c>
      <c r="I444" s="240">
        <v>0</v>
      </c>
      <c r="J444" s="241">
        <v>0.1334708465836594</v>
      </c>
      <c r="K444" s="241">
        <v>0</v>
      </c>
      <c r="L444" s="240">
        <v>0.20158996294160686</v>
      </c>
      <c r="M444" s="240">
        <v>0.17533230029211241</v>
      </c>
      <c r="N444" s="240">
        <v>0.18635873256882568</v>
      </c>
      <c r="O444" s="241">
        <v>0.1896555103005613</v>
      </c>
      <c r="P444" s="241">
        <v>0</v>
      </c>
      <c r="Q444" s="240">
        <v>0</v>
      </c>
      <c r="R444" s="241">
        <v>0</v>
      </c>
      <c r="S444" s="241">
        <v>0</v>
      </c>
      <c r="T444" s="241">
        <v>0</v>
      </c>
      <c r="U444" s="241">
        <v>0.15362798822315007</v>
      </c>
      <c r="V444" s="247"/>
    </row>
    <row r="445" spans="1:22">
      <c r="A445" s="242"/>
      <c r="B445" s="243" t="s">
        <v>813</v>
      </c>
      <c r="C445" s="244">
        <v>0.10397383565569644</v>
      </c>
      <c r="D445" s="245">
        <v>0.15613024780180723</v>
      </c>
      <c r="E445" s="245">
        <v>0.17125803250925978</v>
      </c>
      <c r="F445" s="245">
        <v>0</v>
      </c>
      <c r="G445" s="245">
        <v>0.12782530966670924</v>
      </c>
      <c r="H445" s="245">
        <v>0</v>
      </c>
      <c r="I445" s="245">
        <v>0</v>
      </c>
      <c r="J445" s="246">
        <v>0.14025849056731543</v>
      </c>
      <c r="K445" s="246">
        <v>0</v>
      </c>
      <c r="L445" s="245">
        <v>0.21715123218745408</v>
      </c>
      <c r="M445" s="245">
        <v>0.18914563519977012</v>
      </c>
      <c r="N445" s="245">
        <v>0.20547917951574718</v>
      </c>
      <c r="O445" s="246">
        <v>0.20434535266743883</v>
      </c>
      <c r="P445" s="246">
        <v>0</v>
      </c>
      <c r="Q445" s="245">
        <v>0</v>
      </c>
      <c r="R445" s="246">
        <v>0</v>
      </c>
      <c r="S445" s="246">
        <v>0</v>
      </c>
      <c r="T445" s="246">
        <v>0</v>
      </c>
      <c r="U445" s="246">
        <v>0.16331254785559252</v>
      </c>
      <c r="V445" s="247"/>
    </row>
    <row r="446" spans="1:22">
      <c r="A446" s="242"/>
      <c r="B446" s="248" t="s">
        <v>814</v>
      </c>
      <c r="C446" s="249">
        <v>0.93115461191123627</v>
      </c>
      <c r="D446" s="250">
        <v>0.33772210706768391</v>
      </c>
      <c r="E446" s="250">
        <v>0.56095919825204787</v>
      </c>
      <c r="F446" s="250">
        <v>0</v>
      </c>
      <c r="G446" s="250">
        <v>2.0817046958593393</v>
      </c>
      <c r="H446" s="250">
        <v>0</v>
      </c>
      <c r="I446" s="250">
        <v>0</v>
      </c>
      <c r="J446" s="253">
        <v>0.67876439836560276</v>
      </c>
      <c r="K446" s="253">
        <v>0</v>
      </c>
      <c r="L446" s="250">
        <v>1.556126924584722</v>
      </c>
      <c r="M446" s="250">
        <v>1.3813334907657708</v>
      </c>
      <c r="N446" s="250">
        <v>1.9120446946921499</v>
      </c>
      <c r="O446" s="253">
        <v>1.4689842366877537</v>
      </c>
      <c r="P446" s="253">
        <v>0</v>
      </c>
      <c r="Q446" s="250">
        <v>0</v>
      </c>
      <c r="R446" s="253">
        <v>0</v>
      </c>
      <c r="S446" s="253">
        <v>0</v>
      </c>
      <c r="T446" s="253">
        <v>0</v>
      </c>
      <c r="U446" s="253">
        <v>0.9684559632442441</v>
      </c>
      <c r="V446" s="247"/>
    </row>
    <row r="447" spans="1:22">
      <c r="A447" s="242"/>
      <c r="B447" s="219" t="s">
        <v>815</v>
      </c>
      <c r="C447" s="239">
        <v>3.1614781231586591E-4</v>
      </c>
      <c r="D447" s="240">
        <v>7.001438446477804E-3</v>
      </c>
      <c r="E447" s="240">
        <v>0</v>
      </c>
      <c r="F447" s="240">
        <v>0</v>
      </c>
      <c r="G447" s="240">
        <v>2.4257329393655231E-2</v>
      </c>
      <c r="H447" s="240">
        <v>0</v>
      </c>
      <c r="I447" s="240">
        <v>0</v>
      </c>
      <c r="J447" s="241">
        <v>3.8612344209565334E-3</v>
      </c>
      <c r="K447" s="241">
        <v>0</v>
      </c>
      <c r="L447" s="240">
        <v>1.1781275693734364E-3</v>
      </c>
      <c r="M447" s="240">
        <v>3.9787725207355656E-2</v>
      </c>
      <c r="N447" s="240">
        <v>5.4800815119670755E-2</v>
      </c>
      <c r="O447" s="241">
        <v>1.9669189308484995E-2</v>
      </c>
      <c r="P447" s="241">
        <v>0</v>
      </c>
      <c r="Q447" s="240">
        <v>0</v>
      </c>
      <c r="R447" s="241">
        <v>0</v>
      </c>
      <c r="S447" s="241">
        <v>0</v>
      </c>
      <c r="T447" s="241">
        <v>0</v>
      </c>
      <c r="U447" s="241">
        <v>9.532589638176308E-3</v>
      </c>
      <c r="V447" s="247"/>
    </row>
    <row r="448" spans="1:22">
      <c r="A448" s="242"/>
      <c r="B448" s="243" t="s">
        <v>816</v>
      </c>
      <c r="C448" s="244">
        <v>3.4080259009968474E-4</v>
      </c>
      <c r="D448" s="245">
        <v>6.7961194583790923E-3</v>
      </c>
      <c r="E448" s="245">
        <v>0</v>
      </c>
      <c r="F448" s="245">
        <v>0</v>
      </c>
      <c r="G448" s="245">
        <v>2.3283531264632017E-2</v>
      </c>
      <c r="H448" s="245">
        <v>0</v>
      </c>
      <c r="I448" s="245">
        <v>0</v>
      </c>
      <c r="J448" s="246">
        <v>3.6848381589826692E-3</v>
      </c>
      <c r="K448" s="246">
        <v>0</v>
      </c>
      <c r="L448" s="245">
        <v>4.0629131776112826E-4</v>
      </c>
      <c r="M448" s="254">
        <v>3.3318289074750991E-2</v>
      </c>
      <c r="N448" s="245">
        <v>4.3332073294471085E-2</v>
      </c>
      <c r="O448" s="246">
        <v>1.6340420710842952E-2</v>
      </c>
      <c r="P448" s="246">
        <v>0</v>
      </c>
      <c r="Q448" s="245">
        <v>0</v>
      </c>
      <c r="R448" s="246">
        <v>0</v>
      </c>
      <c r="S448" s="246">
        <v>0</v>
      </c>
      <c r="T448" s="246">
        <v>0</v>
      </c>
      <c r="U448" s="246">
        <v>8.2374487191827321E-3</v>
      </c>
      <c r="V448" s="247"/>
    </row>
    <row r="449" spans="1:22">
      <c r="A449" s="242"/>
      <c r="B449" s="248" t="s">
        <v>817</v>
      </c>
      <c r="C449" s="249">
        <v>2.4654777783818835E-3</v>
      </c>
      <c r="D449" s="250">
        <v>-2.053189880987117E-2</v>
      </c>
      <c r="E449" s="250">
        <v>0</v>
      </c>
      <c r="F449" s="250">
        <v>0</v>
      </c>
      <c r="G449" s="250">
        <v>-9.7379812902321367E-2</v>
      </c>
      <c r="H449" s="250">
        <v>0</v>
      </c>
      <c r="I449" s="250">
        <v>0</v>
      </c>
      <c r="J449" s="253">
        <v>-1.7639626197386415E-2</v>
      </c>
      <c r="K449" s="253">
        <v>0</v>
      </c>
      <c r="L449" s="250">
        <v>-7.7183625161230812E-2</v>
      </c>
      <c r="M449" s="252">
        <v>-0.64694361326046657</v>
      </c>
      <c r="N449" s="250">
        <v>-1.1468741825199671</v>
      </c>
      <c r="O449" s="253">
        <v>-0.33287685976420428</v>
      </c>
      <c r="P449" s="253">
        <v>0</v>
      </c>
      <c r="Q449" s="250">
        <v>0</v>
      </c>
      <c r="R449" s="253">
        <v>0</v>
      </c>
      <c r="S449" s="253">
        <v>0</v>
      </c>
      <c r="T449" s="253">
        <v>0</v>
      </c>
      <c r="U449" s="253">
        <v>-0.12951409189935759</v>
      </c>
      <c r="V449" s="247"/>
    </row>
    <row r="450" spans="1:22">
      <c r="A450" s="242"/>
      <c r="B450" s="219" t="s">
        <v>818</v>
      </c>
      <c r="C450" s="239">
        <v>3.1398469570528366E-2</v>
      </c>
      <c r="D450" s="240">
        <v>3.6273824269788625E-2</v>
      </c>
      <c r="E450" s="240">
        <v>0.10686645062564219</v>
      </c>
      <c r="F450" s="240">
        <v>0</v>
      </c>
      <c r="G450" s="240">
        <v>2.4770431182434224E-4</v>
      </c>
      <c r="H450" s="240">
        <v>0</v>
      </c>
      <c r="I450" s="240">
        <v>0</v>
      </c>
      <c r="J450" s="241">
        <v>5.0912965178379246E-2</v>
      </c>
      <c r="K450" s="241">
        <v>0</v>
      </c>
      <c r="L450" s="240">
        <v>4.4911445209428871E-2</v>
      </c>
      <c r="M450" s="240">
        <v>4.6094979999199689E-2</v>
      </c>
      <c r="N450" s="240">
        <v>2.085747392815759E-2</v>
      </c>
      <c r="O450" s="241">
        <v>4.4702648155836369E-2</v>
      </c>
      <c r="P450" s="241">
        <v>0</v>
      </c>
      <c r="Q450" s="240">
        <v>0</v>
      </c>
      <c r="R450" s="241">
        <v>0</v>
      </c>
      <c r="S450" s="241">
        <v>0</v>
      </c>
      <c r="T450" s="241">
        <v>0</v>
      </c>
      <c r="U450" s="241">
        <v>4.8684915180958355E-2</v>
      </c>
      <c r="V450" s="247"/>
    </row>
    <row r="451" spans="1:22">
      <c r="A451" s="242"/>
      <c r="B451" s="243" t="s">
        <v>819</v>
      </c>
      <c r="C451" s="244">
        <v>3.2995887132378568E-2</v>
      </c>
      <c r="D451" s="245">
        <v>3.7125146149017747E-2</v>
      </c>
      <c r="E451" s="245">
        <v>0.10697977651831958</v>
      </c>
      <c r="F451" s="245">
        <v>0</v>
      </c>
      <c r="G451" s="245">
        <v>1.4594012806246238E-4</v>
      </c>
      <c r="H451" s="245">
        <v>0</v>
      </c>
      <c r="I451" s="245">
        <v>0</v>
      </c>
      <c r="J451" s="246">
        <v>5.1833886696728643E-2</v>
      </c>
      <c r="K451" s="246">
        <v>0</v>
      </c>
      <c r="L451" s="245">
        <v>4.2783393932716324E-2</v>
      </c>
      <c r="M451" s="245">
        <v>5.1768513586591909E-2</v>
      </c>
      <c r="N451" s="245">
        <v>2.4829397369834669E-2</v>
      </c>
      <c r="O451" s="246">
        <v>4.6234682550491686E-2</v>
      </c>
      <c r="P451" s="246">
        <v>0</v>
      </c>
      <c r="Q451" s="245">
        <v>0</v>
      </c>
      <c r="R451" s="246">
        <v>0</v>
      </c>
      <c r="S451" s="246">
        <v>0</v>
      </c>
      <c r="T451" s="246">
        <v>0</v>
      </c>
      <c r="U451" s="246">
        <v>4.9819677092357066E-2</v>
      </c>
      <c r="V451" s="247"/>
    </row>
    <row r="452" spans="1:22">
      <c r="A452" s="242"/>
      <c r="B452" s="248" t="s">
        <v>820</v>
      </c>
      <c r="C452" s="249">
        <v>0.15974175618502021</v>
      </c>
      <c r="D452" s="250">
        <v>8.5132187922912217E-2</v>
      </c>
      <c r="E452" s="250">
        <v>1.133258926773878E-2</v>
      </c>
      <c r="F452" s="250">
        <v>0</v>
      </c>
      <c r="G452" s="250">
        <v>-1.0176418376187985E-2</v>
      </c>
      <c r="H452" s="250">
        <v>0</v>
      </c>
      <c r="I452" s="250">
        <v>0</v>
      </c>
      <c r="J452" s="253">
        <v>9.2092151834939628E-2</v>
      </c>
      <c r="K452" s="253">
        <v>0</v>
      </c>
      <c r="L452" s="250">
        <v>-0.21280512767125476</v>
      </c>
      <c r="M452" s="250">
        <v>0.56735335873922199</v>
      </c>
      <c r="N452" s="250">
        <v>0.39719234416770788</v>
      </c>
      <c r="O452" s="253">
        <v>0.15320343946553169</v>
      </c>
      <c r="P452" s="253">
        <v>0</v>
      </c>
      <c r="Q452" s="250">
        <v>0</v>
      </c>
      <c r="R452" s="253">
        <v>0</v>
      </c>
      <c r="S452" s="253">
        <v>0</v>
      </c>
      <c r="T452" s="253">
        <v>0</v>
      </c>
      <c r="U452" s="253">
        <v>0.11347619113987115</v>
      </c>
      <c r="V452" s="247"/>
    </row>
    <row r="453" spans="1:22">
      <c r="A453" s="242"/>
      <c r="B453" s="219" t="s">
        <v>821</v>
      </c>
      <c r="C453" s="239">
        <v>5.643678903446696E-3</v>
      </c>
      <c r="D453" s="240">
        <v>6.0824309745474885E-3</v>
      </c>
      <c r="E453" s="240">
        <v>9.0260402427157424E-3</v>
      </c>
      <c r="F453" s="240">
        <v>0</v>
      </c>
      <c r="G453" s="240">
        <v>1.692646130799672E-3</v>
      </c>
      <c r="H453" s="240">
        <v>0</v>
      </c>
      <c r="I453" s="240">
        <v>0</v>
      </c>
      <c r="J453" s="241">
        <v>6.44652401185124E-3</v>
      </c>
      <c r="K453" s="241">
        <v>0</v>
      </c>
      <c r="L453" s="240">
        <v>8.7482479454915115E-4</v>
      </c>
      <c r="M453" s="240">
        <v>1.552321514072312E-3</v>
      </c>
      <c r="N453" s="240">
        <v>3.2564829983617693E-3</v>
      </c>
      <c r="O453" s="241">
        <v>1.242778722977025E-3</v>
      </c>
      <c r="P453" s="241">
        <v>0</v>
      </c>
      <c r="Q453" s="240">
        <v>0</v>
      </c>
      <c r="R453" s="241">
        <v>0</v>
      </c>
      <c r="S453" s="241">
        <v>0</v>
      </c>
      <c r="T453" s="241">
        <v>0</v>
      </c>
      <c r="U453" s="241">
        <v>4.5795976318662463E-3</v>
      </c>
      <c r="V453" s="247"/>
    </row>
    <row r="454" spans="1:22">
      <c r="A454" s="242"/>
      <c r="B454" s="243" t="s">
        <v>822</v>
      </c>
      <c r="C454" s="244">
        <v>5.350213388894483E-3</v>
      </c>
      <c r="D454" s="245">
        <v>6.3124207144747606E-3</v>
      </c>
      <c r="E454" s="245">
        <v>8.2325102987547989E-3</v>
      </c>
      <c r="F454" s="245">
        <v>0</v>
      </c>
      <c r="G454" s="245">
        <v>1.1371168311533526E-3</v>
      </c>
      <c r="H454" s="245">
        <v>0</v>
      </c>
      <c r="I454" s="245">
        <v>0</v>
      </c>
      <c r="J454" s="246">
        <v>6.1883476092737524E-3</v>
      </c>
      <c r="K454" s="246">
        <v>0</v>
      </c>
      <c r="L454" s="245">
        <v>9.3424048773321582E-4</v>
      </c>
      <c r="M454" s="245">
        <v>1.7687168873835595E-3</v>
      </c>
      <c r="N454" s="245">
        <v>3.4418956289915047E-3</v>
      </c>
      <c r="O454" s="246">
        <v>1.381237111165482E-3</v>
      </c>
      <c r="P454" s="246">
        <v>0</v>
      </c>
      <c r="Q454" s="245">
        <v>0</v>
      </c>
      <c r="R454" s="246">
        <v>0</v>
      </c>
      <c r="S454" s="246">
        <v>0</v>
      </c>
      <c r="T454" s="246">
        <v>0</v>
      </c>
      <c r="U454" s="246">
        <v>4.4590789700739413E-3</v>
      </c>
      <c r="V454" s="247"/>
    </row>
    <row r="455" spans="1:22" ht="15.75" thickBot="1">
      <c r="A455" s="242"/>
      <c r="B455" s="257" t="s">
        <v>823</v>
      </c>
      <c r="C455" s="258">
        <v>-2.9346551455221304E-2</v>
      </c>
      <c r="D455" s="259">
        <v>2.2998973992727212E-2</v>
      </c>
      <c r="E455" s="259">
        <v>-7.9352994396094362E-2</v>
      </c>
      <c r="F455" s="259">
        <v>0</v>
      </c>
      <c r="G455" s="259">
        <v>-5.5552929964631938E-2</v>
      </c>
      <c r="H455" s="259">
        <v>0</v>
      </c>
      <c r="I455" s="259">
        <v>0</v>
      </c>
      <c r="J455" s="260">
        <v>-2.5817640257748756E-2</v>
      </c>
      <c r="K455" s="260">
        <v>0</v>
      </c>
      <c r="L455" s="259">
        <v>5.9415693184064668E-3</v>
      </c>
      <c r="M455" s="259">
        <v>2.1639537331124746E-2</v>
      </c>
      <c r="N455" s="259">
        <v>1.8541263062973531E-2</v>
      </c>
      <c r="O455" s="260">
        <v>1.3845838818845702E-2</v>
      </c>
      <c r="P455" s="260">
        <v>0</v>
      </c>
      <c r="Q455" s="259">
        <v>0</v>
      </c>
      <c r="R455" s="260">
        <v>0</v>
      </c>
      <c r="S455" s="260">
        <v>0</v>
      </c>
      <c r="T455" s="260">
        <v>0</v>
      </c>
      <c r="U455" s="260">
        <v>-1.20518661792305E-2</v>
      </c>
      <c r="V455" s="247"/>
    </row>
    <row r="456" spans="1:22" ht="15.75" thickTop="1">
      <c r="A456" s="242"/>
      <c r="B456" s="243" t="s">
        <v>824</v>
      </c>
      <c r="C456" s="244">
        <v>0.69795687475043255</v>
      </c>
      <c r="D456" s="245">
        <v>0.51446587177823189</v>
      </c>
      <c r="E456" s="245">
        <v>0.43050179081798778</v>
      </c>
      <c r="F456" s="245">
        <v>0</v>
      </c>
      <c r="G456" s="245">
        <v>0.11525368779380775</v>
      </c>
      <c r="H456" s="245">
        <v>0</v>
      </c>
      <c r="I456" s="245">
        <v>0</v>
      </c>
      <c r="J456" s="246">
        <v>0.57944969741613062</v>
      </c>
      <c r="K456" s="246">
        <v>0</v>
      </c>
      <c r="L456" s="245">
        <v>0</v>
      </c>
      <c r="M456" s="245">
        <v>0</v>
      </c>
      <c r="N456" s="245">
        <v>0</v>
      </c>
      <c r="O456" s="246">
        <v>0</v>
      </c>
      <c r="P456" s="246">
        <v>0</v>
      </c>
      <c r="Q456" s="245">
        <v>0</v>
      </c>
      <c r="R456" s="246">
        <v>0</v>
      </c>
      <c r="S456" s="246">
        <v>0</v>
      </c>
      <c r="T456" s="246">
        <v>0</v>
      </c>
      <c r="U456" s="246">
        <v>0.57944969741613062</v>
      </c>
      <c r="V456" s="247"/>
    </row>
    <row r="457" spans="1:22">
      <c r="A457" s="242"/>
      <c r="B457" s="243" t="s">
        <v>825</v>
      </c>
      <c r="C457" s="244">
        <v>0.69113939248409173</v>
      </c>
      <c r="D457" s="245">
        <v>0.48708176550816884</v>
      </c>
      <c r="E457" s="245">
        <v>0.43463491445657365</v>
      </c>
      <c r="F457" s="245">
        <v>0</v>
      </c>
      <c r="G457" s="245">
        <v>0.13023531152878495</v>
      </c>
      <c r="H457" s="245">
        <v>0</v>
      </c>
      <c r="I457" s="245">
        <v>0</v>
      </c>
      <c r="J457" s="246">
        <v>0.56673647502534896</v>
      </c>
      <c r="K457" s="246">
        <v>0</v>
      </c>
      <c r="L457" s="245">
        <v>0</v>
      </c>
      <c r="M457" s="245">
        <v>0</v>
      </c>
      <c r="N457" s="245">
        <v>0</v>
      </c>
      <c r="O457" s="246">
        <v>0</v>
      </c>
      <c r="P457" s="246">
        <v>0</v>
      </c>
      <c r="Q457" s="245">
        <v>0</v>
      </c>
      <c r="R457" s="246">
        <v>0</v>
      </c>
      <c r="S457" s="246">
        <v>0</v>
      </c>
      <c r="T457" s="246">
        <v>0</v>
      </c>
      <c r="U457" s="246">
        <v>0.56673647502534896</v>
      </c>
      <c r="V457" s="247"/>
    </row>
    <row r="458" spans="1:22">
      <c r="A458" s="242"/>
      <c r="B458" s="248" t="s">
        <v>826</v>
      </c>
      <c r="C458" s="249">
        <v>-0.68174822663408241</v>
      </c>
      <c r="D458" s="250">
        <v>-2.7384106270063047</v>
      </c>
      <c r="E458" s="250">
        <v>0.41331236385858672</v>
      </c>
      <c r="F458" s="250">
        <v>0</v>
      </c>
      <c r="G458" s="250">
        <v>1.4981623734977203</v>
      </c>
      <c r="H458" s="250">
        <v>0</v>
      </c>
      <c r="I458" s="250">
        <v>0</v>
      </c>
      <c r="J458" s="253">
        <v>-1.2713222390781653</v>
      </c>
      <c r="K458" s="253">
        <v>0</v>
      </c>
      <c r="L458" s="250">
        <v>0</v>
      </c>
      <c r="M458" s="250">
        <v>0</v>
      </c>
      <c r="N458" s="250">
        <v>0</v>
      </c>
      <c r="O458" s="253">
        <v>0</v>
      </c>
      <c r="P458" s="253">
        <v>0</v>
      </c>
      <c r="Q458" s="250">
        <v>0</v>
      </c>
      <c r="R458" s="253">
        <v>0</v>
      </c>
      <c r="S458" s="253">
        <v>0</v>
      </c>
      <c r="T458" s="253">
        <v>0</v>
      </c>
      <c r="U458" s="253">
        <v>-1.2713222390781653</v>
      </c>
      <c r="V458" s="247"/>
    </row>
    <row r="459" spans="1:22">
      <c r="A459" s="242"/>
      <c r="B459" s="219" t="s">
        <v>827</v>
      </c>
      <c r="C459" s="239">
        <v>2.0071875415945694E-2</v>
      </c>
      <c r="D459" s="240">
        <v>6.5612196468525716E-2</v>
      </c>
      <c r="E459" s="240">
        <v>3.4188343402915956E-3</v>
      </c>
      <c r="F459" s="240">
        <v>0</v>
      </c>
      <c r="G459" s="240">
        <v>9.7260496028529742E-4</v>
      </c>
      <c r="H459" s="240">
        <v>0</v>
      </c>
      <c r="I459" s="240">
        <v>0</v>
      </c>
      <c r="J459" s="241">
        <v>3.1703042349041449E-2</v>
      </c>
      <c r="K459" s="241">
        <v>0</v>
      </c>
      <c r="L459" s="240">
        <v>0</v>
      </c>
      <c r="M459" s="240">
        <v>0</v>
      </c>
      <c r="N459" s="240">
        <v>0</v>
      </c>
      <c r="O459" s="241">
        <v>0</v>
      </c>
      <c r="P459" s="241">
        <v>0</v>
      </c>
      <c r="Q459" s="240">
        <v>0</v>
      </c>
      <c r="R459" s="241">
        <v>0</v>
      </c>
      <c r="S459" s="241">
        <v>0</v>
      </c>
      <c r="T459" s="241">
        <v>0</v>
      </c>
      <c r="U459" s="241">
        <v>3.1703042349041449E-2</v>
      </c>
      <c r="V459" s="247"/>
    </row>
    <row r="460" spans="1:22">
      <c r="A460" s="242"/>
      <c r="B460" s="243" t="s">
        <v>828</v>
      </c>
      <c r="C460" s="244">
        <v>2.0323901762249703E-2</v>
      </c>
      <c r="D460" s="245">
        <v>9.6671535388514335E-2</v>
      </c>
      <c r="E460" s="245">
        <v>3.4146600378620337E-3</v>
      </c>
      <c r="F460" s="245">
        <v>0</v>
      </c>
      <c r="G460" s="254">
        <v>0</v>
      </c>
      <c r="H460" s="245">
        <v>0</v>
      </c>
      <c r="I460" s="245">
        <v>0</v>
      </c>
      <c r="J460" s="246">
        <v>4.1802887728574996E-2</v>
      </c>
      <c r="K460" s="246">
        <v>0</v>
      </c>
      <c r="L460" s="245">
        <v>0</v>
      </c>
      <c r="M460" s="245">
        <v>0</v>
      </c>
      <c r="N460" s="245">
        <v>0</v>
      </c>
      <c r="O460" s="246">
        <v>0</v>
      </c>
      <c r="P460" s="246">
        <v>0</v>
      </c>
      <c r="Q460" s="245">
        <v>0</v>
      </c>
      <c r="R460" s="246">
        <v>0</v>
      </c>
      <c r="S460" s="246">
        <v>0</v>
      </c>
      <c r="T460" s="246">
        <v>0</v>
      </c>
      <c r="U460" s="246">
        <v>4.1802887728574996E-2</v>
      </c>
      <c r="V460" s="247"/>
    </row>
    <row r="461" spans="1:22">
      <c r="A461" s="242"/>
      <c r="B461" s="248" t="s">
        <v>829</v>
      </c>
      <c r="C461" s="249">
        <v>2.5202634630400872E-2</v>
      </c>
      <c r="D461" s="250">
        <v>3.1059338919988617</v>
      </c>
      <c r="E461" s="250">
        <v>-4.1743024295618804E-4</v>
      </c>
      <c r="F461" s="250">
        <v>0</v>
      </c>
      <c r="G461" s="250">
        <v>-9.7260496028529736E-2</v>
      </c>
      <c r="H461" s="250">
        <v>0</v>
      </c>
      <c r="I461" s="250">
        <v>0</v>
      </c>
      <c r="J461" s="253">
        <v>1.0099845379533547</v>
      </c>
      <c r="K461" s="253">
        <v>0</v>
      </c>
      <c r="L461" s="250">
        <v>0</v>
      </c>
      <c r="M461" s="250">
        <v>0</v>
      </c>
      <c r="N461" s="250">
        <v>0</v>
      </c>
      <c r="O461" s="253">
        <v>0</v>
      </c>
      <c r="P461" s="253">
        <v>0</v>
      </c>
      <c r="Q461" s="250">
        <v>0</v>
      </c>
      <c r="R461" s="253">
        <v>0</v>
      </c>
      <c r="S461" s="253">
        <v>0</v>
      </c>
      <c r="T461" s="253">
        <v>0</v>
      </c>
      <c r="U461" s="253">
        <v>1.0099845379533547</v>
      </c>
      <c r="V461" s="247"/>
    </row>
    <row r="462" spans="1:22">
      <c r="A462" s="242"/>
      <c r="B462" s="219" t="s">
        <v>830</v>
      </c>
      <c r="C462" s="239">
        <v>0.21402236124051643</v>
      </c>
      <c r="D462" s="240">
        <v>0.34434295787607877</v>
      </c>
      <c r="E462" s="240">
        <v>0.47818458087623456</v>
      </c>
      <c r="F462" s="240">
        <v>0</v>
      </c>
      <c r="G462" s="240">
        <v>0.88328740476576428</v>
      </c>
      <c r="H462" s="240">
        <v>0</v>
      </c>
      <c r="I462" s="240">
        <v>0</v>
      </c>
      <c r="J462" s="241">
        <v>0.3162176063806143</v>
      </c>
      <c r="K462" s="241">
        <v>0</v>
      </c>
      <c r="L462" s="240">
        <v>0</v>
      </c>
      <c r="M462" s="240">
        <v>0</v>
      </c>
      <c r="N462" s="240">
        <v>0</v>
      </c>
      <c r="O462" s="241">
        <v>0</v>
      </c>
      <c r="P462" s="241">
        <v>0</v>
      </c>
      <c r="Q462" s="240">
        <v>0</v>
      </c>
      <c r="R462" s="241">
        <v>0</v>
      </c>
      <c r="S462" s="241">
        <v>0</v>
      </c>
      <c r="T462" s="241">
        <v>0</v>
      </c>
      <c r="U462" s="241">
        <v>0.3162176063806143</v>
      </c>
      <c r="V462" s="247"/>
    </row>
    <row r="463" spans="1:22">
      <c r="A463" s="242"/>
      <c r="B463" s="243" t="s">
        <v>831</v>
      </c>
      <c r="C463" s="244">
        <v>0.22511039073651631</v>
      </c>
      <c r="D463" s="245">
        <v>0.33553554328164747</v>
      </c>
      <c r="E463" s="245">
        <v>0.49792112666088711</v>
      </c>
      <c r="F463" s="245">
        <v>0</v>
      </c>
      <c r="G463" s="245">
        <v>0.86976468847121502</v>
      </c>
      <c r="H463" s="245">
        <v>0</v>
      </c>
      <c r="I463" s="245">
        <v>0</v>
      </c>
      <c r="J463" s="246">
        <v>0.32363597310009129</v>
      </c>
      <c r="K463" s="246">
        <v>0</v>
      </c>
      <c r="L463" s="245">
        <v>0</v>
      </c>
      <c r="M463" s="245">
        <v>0</v>
      </c>
      <c r="N463" s="245">
        <v>0</v>
      </c>
      <c r="O463" s="246">
        <v>0</v>
      </c>
      <c r="P463" s="246">
        <v>0</v>
      </c>
      <c r="Q463" s="245">
        <v>0</v>
      </c>
      <c r="R463" s="246">
        <v>0</v>
      </c>
      <c r="S463" s="246">
        <v>0</v>
      </c>
      <c r="T463" s="246">
        <v>0</v>
      </c>
      <c r="U463" s="246">
        <v>0.32363597310009129</v>
      </c>
      <c r="V463" s="247"/>
    </row>
    <row r="464" spans="1:22">
      <c r="A464" s="242"/>
      <c r="B464" s="248" t="s">
        <v>832</v>
      </c>
      <c r="C464" s="249">
        <v>1.1088029495999878</v>
      </c>
      <c r="D464" s="250">
        <v>-0.88074145944312954</v>
      </c>
      <c r="E464" s="250">
        <v>1.9736545784652559</v>
      </c>
      <c r="F464" s="250">
        <v>0</v>
      </c>
      <c r="G464" s="250">
        <v>-1.3522716294549264</v>
      </c>
      <c r="H464" s="250">
        <v>0</v>
      </c>
      <c r="I464" s="250">
        <v>0</v>
      </c>
      <c r="J464" s="253">
        <v>0.74183667194769876</v>
      </c>
      <c r="K464" s="253">
        <v>0</v>
      </c>
      <c r="L464" s="250">
        <v>0</v>
      </c>
      <c r="M464" s="250">
        <v>0</v>
      </c>
      <c r="N464" s="250">
        <v>0</v>
      </c>
      <c r="O464" s="253">
        <v>0</v>
      </c>
      <c r="P464" s="253">
        <v>0</v>
      </c>
      <c r="Q464" s="250">
        <v>0</v>
      </c>
      <c r="R464" s="253">
        <v>0</v>
      </c>
      <c r="S464" s="253">
        <v>0</v>
      </c>
      <c r="T464" s="253">
        <v>0</v>
      </c>
      <c r="U464" s="253">
        <v>0.74183667194769876</v>
      </c>
      <c r="V464" s="247"/>
    </row>
    <row r="465" spans="1:22">
      <c r="A465" s="242"/>
      <c r="B465" s="219" t="s">
        <v>833</v>
      </c>
      <c r="C465" s="239">
        <v>1.517369892186876E-3</v>
      </c>
      <c r="D465" s="240">
        <v>2.4989587671803417E-3</v>
      </c>
      <c r="E465" s="240">
        <v>1.4471256466842732E-4</v>
      </c>
      <c r="F465" s="240">
        <v>0</v>
      </c>
      <c r="G465" s="240">
        <v>0</v>
      </c>
      <c r="H465" s="240">
        <v>0</v>
      </c>
      <c r="I465" s="240">
        <v>0</v>
      </c>
      <c r="J465" s="241">
        <v>1.5684830165674987E-3</v>
      </c>
      <c r="K465" s="241">
        <v>0</v>
      </c>
      <c r="L465" s="240">
        <v>0</v>
      </c>
      <c r="M465" s="240">
        <v>0</v>
      </c>
      <c r="N465" s="240">
        <v>0</v>
      </c>
      <c r="O465" s="241">
        <v>0</v>
      </c>
      <c r="P465" s="241">
        <v>0</v>
      </c>
      <c r="Q465" s="240">
        <v>0</v>
      </c>
      <c r="R465" s="241">
        <v>0</v>
      </c>
      <c r="S465" s="241">
        <v>0</v>
      </c>
      <c r="T465" s="241">
        <v>0</v>
      </c>
      <c r="U465" s="241">
        <v>1.5684830165674987E-3</v>
      </c>
      <c r="V465" s="247"/>
    </row>
    <row r="466" spans="1:22">
      <c r="A466" s="242"/>
      <c r="B466" s="243" t="s">
        <v>834</v>
      </c>
      <c r="C466" s="244">
        <v>1.1405931084163764E-3</v>
      </c>
      <c r="D466" s="245">
        <v>2.5826796026349134E-3</v>
      </c>
      <c r="E466" s="245">
        <v>1.061552343376798E-4</v>
      </c>
      <c r="F466" s="245">
        <v>0</v>
      </c>
      <c r="G466" s="245">
        <v>0</v>
      </c>
      <c r="H466" s="245">
        <v>0</v>
      </c>
      <c r="I466" s="245">
        <v>0</v>
      </c>
      <c r="J466" s="246">
        <v>1.4024846721692079E-3</v>
      </c>
      <c r="K466" s="246">
        <v>0</v>
      </c>
      <c r="L466" s="245">
        <v>0</v>
      </c>
      <c r="M466" s="245">
        <v>0</v>
      </c>
      <c r="N466" s="245">
        <v>0</v>
      </c>
      <c r="O466" s="246">
        <v>0</v>
      </c>
      <c r="P466" s="246">
        <v>0</v>
      </c>
      <c r="Q466" s="245">
        <v>0</v>
      </c>
      <c r="R466" s="246">
        <v>0</v>
      </c>
      <c r="S466" s="246">
        <v>0</v>
      </c>
      <c r="T466" s="246">
        <v>0</v>
      </c>
      <c r="U466" s="246">
        <v>1.4024846721692079E-3</v>
      </c>
      <c r="V466" s="247"/>
    </row>
    <row r="467" spans="1:22">
      <c r="A467" s="242"/>
      <c r="B467" s="248" t="s">
        <v>835</v>
      </c>
      <c r="C467" s="249">
        <v>-3.7677678377049953E-2</v>
      </c>
      <c r="D467" s="250">
        <v>8.3720835454571645E-3</v>
      </c>
      <c r="E467" s="250">
        <v>-3.8557330330747526E-3</v>
      </c>
      <c r="F467" s="250">
        <v>0</v>
      </c>
      <c r="G467" s="250">
        <v>0</v>
      </c>
      <c r="H467" s="250">
        <v>0</v>
      </c>
      <c r="I467" s="250">
        <v>0</v>
      </c>
      <c r="J467" s="253">
        <v>-1.659983443982908E-2</v>
      </c>
      <c r="K467" s="253">
        <v>0</v>
      </c>
      <c r="L467" s="250">
        <v>0</v>
      </c>
      <c r="M467" s="250">
        <v>0</v>
      </c>
      <c r="N467" s="250">
        <v>0</v>
      </c>
      <c r="O467" s="253">
        <v>0</v>
      </c>
      <c r="P467" s="253">
        <v>0</v>
      </c>
      <c r="Q467" s="250">
        <v>0</v>
      </c>
      <c r="R467" s="253">
        <v>0</v>
      </c>
      <c r="S467" s="253">
        <v>0</v>
      </c>
      <c r="T467" s="253">
        <v>0</v>
      </c>
      <c r="U467" s="253">
        <v>-1.659983443982908E-2</v>
      </c>
      <c r="V467" s="247"/>
    </row>
    <row r="468" spans="1:22">
      <c r="A468" s="242"/>
      <c r="B468" s="219" t="s">
        <v>836</v>
      </c>
      <c r="C468" s="239">
        <v>2.7372554239318513E-2</v>
      </c>
      <c r="D468" s="240">
        <v>2.5299536046027332E-2</v>
      </c>
      <c r="E468" s="240">
        <v>4.8840490575594225E-2</v>
      </c>
      <c r="F468" s="240">
        <v>0</v>
      </c>
      <c r="G468" s="240">
        <v>0</v>
      </c>
      <c r="H468" s="240">
        <v>0</v>
      </c>
      <c r="I468" s="240">
        <v>0</v>
      </c>
      <c r="J468" s="241">
        <v>2.9925004921353596E-2</v>
      </c>
      <c r="K468" s="241">
        <v>0</v>
      </c>
      <c r="L468" s="240">
        <v>0</v>
      </c>
      <c r="M468" s="240">
        <v>0</v>
      </c>
      <c r="N468" s="240">
        <v>0</v>
      </c>
      <c r="O468" s="241">
        <v>0</v>
      </c>
      <c r="P468" s="241">
        <v>0</v>
      </c>
      <c r="Q468" s="240">
        <v>0</v>
      </c>
      <c r="R468" s="241">
        <v>0</v>
      </c>
      <c r="S468" s="241">
        <v>0</v>
      </c>
      <c r="T468" s="241">
        <v>0</v>
      </c>
      <c r="U468" s="241">
        <v>2.9925004921353596E-2</v>
      </c>
      <c r="V468" s="247"/>
    </row>
    <row r="469" spans="1:22">
      <c r="A469" s="242"/>
      <c r="B469" s="243" t="s">
        <v>837</v>
      </c>
      <c r="C469" s="244">
        <v>2.9615400008004163E-2</v>
      </c>
      <c r="D469" s="245">
        <v>2.8941488281212215E-2</v>
      </c>
      <c r="E469" s="245">
        <v>3.3704286902213339E-2</v>
      </c>
      <c r="F469" s="245">
        <v>0</v>
      </c>
      <c r="G469" s="245">
        <v>0</v>
      </c>
      <c r="H469" s="245">
        <v>0</v>
      </c>
      <c r="I469" s="245">
        <v>0</v>
      </c>
      <c r="J469" s="246">
        <v>2.9493241855954717E-2</v>
      </c>
      <c r="K469" s="246">
        <v>0</v>
      </c>
      <c r="L469" s="245">
        <v>0</v>
      </c>
      <c r="M469" s="245">
        <v>0</v>
      </c>
      <c r="N469" s="245">
        <v>0</v>
      </c>
      <c r="O469" s="246">
        <v>0</v>
      </c>
      <c r="P469" s="246">
        <v>0</v>
      </c>
      <c r="Q469" s="245">
        <v>0</v>
      </c>
      <c r="R469" s="246">
        <v>0</v>
      </c>
      <c r="S469" s="246">
        <v>0</v>
      </c>
      <c r="T469" s="246">
        <v>0</v>
      </c>
      <c r="U469" s="246">
        <v>2.9493241855954717E-2</v>
      </c>
      <c r="V469" s="247"/>
    </row>
    <row r="470" spans="1:22">
      <c r="A470" s="242"/>
      <c r="B470" s="248" t="s">
        <v>838</v>
      </c>
      <c r="C470" s="249">
        <v>0.22428457686856501</v>
      </c>
      <c r="D470" s="250">
        <v>0.36419522351848821</v>
      </c>
      <c r="E470" s="250">
        <v>-1.5136203673380886</v>
      </c>
      <c r="F470" s="250">
        <v>0</v>
      </c>
      <c r="G470" s="250">
        <v>0</v>
      </c>
      <c r="H470" s="250">
        <v>0</v>
      </c>
      <c r="I470" s="250">
        <v>0</v>
      </c>
      <c r="J470" s="253">
        <v>-4.3176306539887896E-2</v>
      </c>
      <c r="K470" s="253">
        <v>0</v>
      </c>
      <c r="L470" s="250">
        <v>0</v>
      </c>
      <c r="M470" s="250">
        <v>0</v>
      </c>
      <c r="N470" s="250">
        <v>0</v>
      </c>
      <c r="O470" s="253">
        <v>0</v>
      </c>
      <c r="P470" s="253">
        <v>0</v>
      </c>
      <c r="Q470" s="250">
        <v>0</v>
      </c>
      <c r="R470" s="253">
        <v>0</v>
      </c>
      <c r="S470" s="253">
        <v>0</v>
      </c>
      <c r="T470" s="253">
        <v>0</v>
      </c>
      <c r="U470" s="253">
        <v>-4.3176306539887896E-2</v>
      </c>
      <c r="V470" s="247"/>
    </row>
    <row r="471" spans="1:22">
      <c r="A471" s="242"/>
      <c r="B471" s="219" t="s">
        <v>839</v>
      </c>
      <c r="C471" s="239">
        <v>3.9058964461599892E-2</v>
      </c>
      <c r="D471" s="240">
        <v>4.7780479063955911E-2</v>
      </c>
      <c r="E471" s="240">
        <v>3.8909590825223397E-2</v>
      </c>
      <c r="F471" s="240">
        <v>0</v>
      </c>
      <c r="G471" s="240">
        <v>4.8630248014264871E-4</v>
      </c>
      <c r="H471" s="240">
        <v>0</v>
      </c>
      <c r="I471" s="240">
        <v>0</v>
      </c>
      <c r="J471" s="241">
        <v>4.1136165916292537E-2</v>
      </c>
      <c r="K471" s="241">
        <v>0</v>
      </c>
      <c r="L471" s="240">
        <v>0</v>
      </c>
      <c r="M471" s="240">
        <v>0</v>
      </c>
      <c r="N471" s="240">
        <v>0</v>
      </c>
      <c r="O471" s="241">
        <v>0</v>
      </c>
      <c r="P471" s="241">
        <v>0</v>
      </c>
      <c r="Q471" s="240">
        <v>0</v>
      </c>
      <c r="R471" s="241">
        <v>0</v>
      </c>
      <c r="S471" s="241">
        <v>0</v>
      </c>
      <c r="T471" s="241">
        <v>0</v>
      </c>
      <c r="U471" s="241">
        <v>4.1136165916292537E-2</v>
      </c>
      <c r="V471" s="247"/>
    </row>
    <row r="472" spans="1:22">
      <c r="A472" s="242"/>
      <c r="B472" s="243" t="s">
        <v>840</v>
      </c>
      <c r="C472" s="244">
        <v>3.2670321900721708E-2</v>
      </c>
      <c r="D472" s="245">
        <v>4.9186987937822231E-2</v>
      </c>
      <c r="E472" s="245">
        <v>3.0218856708126181E-2</v>
      </c>
      <c r="F472" s="245">
        <v>0</v>
      </c>
      <c r="G472" s="245">
        <v>0</v>
      </c>
      <c r="H472" s="245">
        <v>0</v>
      </c>
      <c r="I472" s="245">
        <v>0</v>
      </c>
      <c r="J472" s="246">
        <v>3.6928937617860834E-2</v>
      </c>
      <c r="K472" s="246">
        <v>0</v>
      </c>
      <c r="L472" s="245">
        <v>0</v>
      </c>
      <c r="M472" s="245">
        <v>0</v>
      </c>
      <c r="N472" s="245">
        <v>0</v>
      </c>
      <c r="O472" s="246">
        <v>0</v>
      </c>
      <c r="P472" s="246">
        <v>0</v>
      </c>
      <c r="Q472" s="245">
        <v>0</v>
      </c>
      <c r="R472" s="246">
        <v>0</v>
      </c>
      <c r="S472" s="246">
        <v>0</v>
      </c>
      <c r="T472" s="246">
        <v>0</v>
      </c>
      <c r="U472" s="246">
        <v>3.6928937617860834E-2</v>
      </c>
      <c r="V472" s="247"/>
    </row>
    <row r="473" spans="1:22" ht="15.75" thickBot="1">
      <c r="A473" s="261"/>
      <c r="B473" s="262" t="s">
        <v>841</v>
      </c>
      <c r="C473" s="263">
        <v>-0.63886425608781838</v>
      </c>
      <c r="D473" s="264">
        <v>0.14065088738663203</v>
      </c>
      <c r="E473" s="264">
        <v>-0.86907341170972163</v>
      </c>
      <c r="F473" s="264">
        <v>0</v>
      </c>
      <c r="G473" s="264">
        <v>-4.8630248014264868E-2</v>
      </c>
      <c r="H473" s="264">
        <v>0</v>
      </c>
      <c r="I473" s="264">
        <v>0</v>
      </c>
      <c r="J473" s="265">
        <v>-0.42072282984317033</v>
      </c>
      <c r="K473" s="265">
        <v>0</v>
      </c>
      <c r="L473" s="264">
        <v>0</v>
      </c>
      <c r="M473" s="264">
        <v>0</v>
      </c>
      <c r="N473" s="264">
        <v>0</v>
      </c>
      <c r="O473" s="265">
        <v>0</v>
      </c>
      <c r="P473" s="265">
        <v>0</v>
      </c>
      <c r="Q473" s="264">
        <v>0</v>
      </c>
      <c r="R473" s="265">
        <v>0</v>
      </c>
      <c r="S473" s="265">
        <v>0</v>
      </c>
      <c r="T473" s="265">
        <v>0</v>
      </c>
      <c r="U473" s="265">
        <v>-0.42072282984317033</v>
      </c>
      <c r="V473" s="247"/>
    </row>
    <row r="474" spans="1:22">
      <c r="A474" s="238" t="s">
        <v>577</v>
      </c>
      <c r="B474" s="219" t="s">
        <v>806</v>
      </c>
      <c r="C474" s="239">
        <v>0.84618767545872786</v>
      </c>
      <c r="D474" s="240">
        <v>0.8447912773324332</v>
      </c>
      <c r="E474" s="240">
        <v>0.78333005697810332</v>
      </c>
      <c r="F474" s="240">
        <v>0.44115701112351652</v>
      </c>
      <c r="G474" s="240">
        <v>0.63375462377619751</v>
      </c>
      <c r="H474" s="240">
        <v>0</v>
      </c>
      <c r="I474" s="240">
        <v>0</v>
      </c>
      <c r="J474" s="241">
        <v>0.8147005172020334</v>
      </c>
      <c r="K474" s="241">
        <v>0.74883083541069462</v>
      </c>
      <c r="L474" s="240">
        <v>0.62720089108186516</v>
      </c>
      <c r="M474" s="240">
        <v>0.51272831154306697</v>
      </c>
      <c r="N474" s="240">
        <v>0.50503040799065613</v>
      </c>
      <c r="O474" s="241">
        <v>0.60958739530537398</v>
      </c>
      <c r="P474" s="241">
        <v>0</v>
      </c>
      <c r="Q474" s="240">
        <v>0</v>
      </c>
      <c r="R474" s="241">
        <v>0</v>
      </c>
      <c r="S474" s="241">
        <v>0</v>
      </c>
      <c r="T474" s="241">
        <v>0</v>
      </c>
      <c r="U474" s="241">
        <v>0.70765031921208088</v>
      </c>
      <c r="V474" s="247"/>
    </row>
    <row r="475" spans="1:22">
      <c r="A475" s="242"/>
      <c r="B475" s="243" t="s">
        <v>807</v>
      </c>
      <c r="C475" s="244">
        <v>0.82881305343923972</v>
      </c>
      <c r="D475" s="245">
        <v>0.83633470994616088</v>
      </c>
      <c r="E475" s="245">
        <v>0.75527901208249226</v>
      </c>
      <c r="F475" s="245">
        <v>0.42618963056283382</v>
      </c>
      <c r="G475" s="245">
        <v>0.58586091285861586</v>
      </c>
      <c r="H475" s="245">
        <v>0</v>
      </c>
      <c r="I475" s="245">
        <v>0</v>
      </c>
      <c r="J475" s="246">
        <v>0.79403158963382969</v>
      </c>
      <c r="K475" s="246">
        <v>0.73658789583980611</v>
      </c>
      <c r="L475" s="245">
        <v>0.60613826312341734</v>
      </c>
      <c r="M475" s="245">
        <v>0.49195360480654138</v>
      </c>
      <c r="N475" s="245">
        <v>0.50611622552456259</v>
      </c>
      <c r="O475" s="246">
        <v>0.58931940304823704</v>
      </c>
      <c r="P475" s="246">
        <v>0</v>
      </c>
      <c r="Q475" s="245">
        <v>0</v>
      </c>
      <c r="R475" s="246">
        <v>0</v>
      </c>
      <c r="S475" s="246">
        <v>0</v>
      </c>
      <c r="T475" s="246">
        <v>0</v>
      </c>
      <c r="U475" s="246">
        <v>0.68853468218887071</v>
      </c>
      <c r="V475" s="247"/>
    </row>
    <row r="476" spans="1:22">
      <c r="A476" s="242"/>
      <c r="B476" s="248" t="s">
        <v>808</v>
      </c>
      <c r="C476" s="249">
        <v>-1.737462201948814</v>
      </c>
      <c r="D476" s="250">
        <v>-0.84565673862723179</v>
      </c>
      <c r="E476" s="250">
        <v>-2.8051044895611055</v>
      </c>
      <c r="F476" s="252">
        <v>-1.4967380560682697</v>
      </c>
      <c r="G476" s="250">
        <v>-4.7893710917581656</v>
      </c>
      <c r="H476" s="250">
        <v>0</v>
      </c>
      <c r="I476" s="250">
        <v>0</v>
      </c>
      <c r="J476" s="253">
        <v>-2.066892756820371</v>
      </c>
      <c r="K476" s="253">
        <v>-1.2242939570888511</v>
      </c>
      <c r="L476" s="250">
        <v>-2.1062627958447822</v>
      </c>
      <c r="M476" s="250">
        <v>-2.0774706736525594</v>
      </c>
      <c r="N476" s="250">
        <v>0.10858175339064635</v>
      </c>
      <c r="O476" s="253">
        <v>-2.0267992257136935</v>
      </c>
      <c r="P476" s="253">
        <v>0</v>
      </c>
      <c r="Q476" s="250">
        <v>0</v>
      </c>
      <c r="R476" s="253">
        <v>0</v>
      </c>
      <c r="S476" s="253">
        <v>0</v>
      </c>
      <c r="T476" s="253">
        <v>0</v>
      </c>
      <c r="U476" s="253">
        <v>-1.9115637023210175</v>
      </c>
      <c r="V476" s="247"/>
    </row>
    <row r="477" spans="1:22">
      <c r="A477" s="242"/>
      <c r="B477" s="219" t="s">
        <v>809</v>
      </c>
      <c r="C477" s="239">
        <v>8.3142085543801963E-3</v>
      </c>
      <c r="D477" s="240">
        <v>2.0159999600656172E-2</v>
      </c>
      <c r="E477" s="240">
        <v>2.1617594992713283E-2</v>
      </c>
      <c r="F477" s="240">
        <v>6.5783125887331317E-2</v>
      </c>
      <c r="G477" s="240">
        <v>3.5171250099878267E-2</v>
      </c>
      <c r="H477" s="240">
        <v>0</v>
      </c>
      <c r="I477" s="240">
        <v>0</v>
      </c>
      <c r="J477" s="241">
        <v>1.5507772633815104E-2</v>
      </c>
      <c r="K477" s="241">
        <v>1.6994260742329438E-2</v>
      </c>
      <c r="L477" s="240">
        <v>0.11663576779911639</v>
      </c>
      <c r="M477" s="240">
        <v>0.21466299544744505</v>
      </c>
      <c r="N477" s="240">
        <v>0.12925007048209755</v>
      </c>
      <c r="O477" s="241">
        <v>0.12868249330212539</v>
      </c>
      <c r="P477" s="241">
        <v>0</v>
      </c>
      <c r="Q477" s="240">
        <v>0</v>
      </c>
      <c r="R477" s="241">
        <v>0</v>
      </c>
      <c r="S477" s="241">
        <v>0</v>
      </c>
      <c r="T477" s="241">
        <v>0</v>
      </c>
      <c r="U477" s="241">
        <v>7.4574575103450322E-2</v>
      </c>
      <c r="V477" s="247"/>
    </row>
    <row r="478" spans="1:22">
      <c r="A478" s="242"/>
      <c r="B478" s="243" t="s">
        <v>810</v>
      </c>
      <c r="C478" s="244">
        <v>9.1333257648076212E-3</v>
      </c>
      <c r="D478" s="245">
        <v>2.2570876708522418E-2</v>
      </c>
      <c r="E478" s="245">
        <v>2.0418767945532188E-2</v>
      </c>
      <c r="F478" s="245">
        <v>5.7469492786158004E-2</v>
      </c>
      <c r="G478" s="245">
        <v>4.0682083019273049E-2</v>
      </c>
      <c r="H478" s="245">
        <v>0</v>
      </c>
      <c r="I478" s="245">
        <v>0</v>
      </c>
      <c r="J478" s="246">
        <v>1.5937846813065815E-2</v>
      </c>
      <c r="K478" s="246">
        <v>1.8015252435104118E-2</v>
      </c>
      <c r="L478" s="245">
        <v>0.12012916376311819</v>
      </c>
      <c r="M478" s="245">
        <v>0.21850593274615554</v>
      </c>
      <c r="N478" s="245">
        <v>0.12884682427488345</v>
      </c>
      <c r="O478" s="246">
        <v>0.13230680894910893</v>
      </c>
      <c r="P478" s="246">
        <v>0</v>
      </c>
      <c r="Q478" s="245">
        <v>0</v>
      </c>
      <c r="R478" s="246">
        <v>0</v>
      </c>
      <c r="S478" s="246">
        <v>0</v>
      </c>
      <c r="T478" s="246">
        <v>0</v>
      </c>
      <c r="U478" s="246">
        <v>7.5907728590470916E-2</v>
      </c>
      <c r="V478" s="247"/>
    </row>
    <row r="479" spans="1:22">
      <c r="A479" s="242"/>
      <c r="B479" s="248" t="s">
        <v>811</v>
      </c>
      <c r="C479" s="249">
        <v>8.1911721042742497E-2</v>
      </c>
      <c r="D479" s="250">
        <v>0.24108771078662461</v>
      </c>
      <c r="E479" s="250">
        <v>-0.11988270471810954</v>
      </c>
      <c r="F479" s="250">
        <v>-0.83136331011733133</v>
      </c>
      <c r="G479" s="250">
        <v>0.55108329193947825</v>
      </c>
      <c r="H479" s="250">
        <v>0</v>
      </c>
      <c r="I479" s="250">
        <v>0</v>
      </c>
      <c r="J479" s="253">
        <v>4.3007417925071054E-2</v>
      </c>
      <c r="K479" s="253">
        <v>0.10209916927746802</v>
      </c>
      <c r="L479" s="250">
        <v>0.34933959640018053</v>
      </c>
      <c r="M479" s="250">
        <v>0.38429372987104915</v>
      </c>
      <c r="N479" s="250">
        <v>-4.0324620721410298E-2</v>
      </c>
      <c r="O479" s="253">
        <v>0.36243156469835391</v>
      </c>
      <c r="P479" s="253">
        <v>0</v>
      </c>
      <c r="Q479" s="250">
        <v>0</v>
      </c>
      <c r="R479" s="253">
        <v>0</v>
      </c>
      <c r="S479" s="253">
        <v>0</v>
      </c>
      <c r="T479" s="253">
        <v>0</v>
      </c>
      <c r="U479" s="253">
        <v>0.13331534870205941</v>
      </c>
      <c r="V479" s="247"/>
    </row>
    <row r="480" spans="1:22">
      <c r="A480" s="242"/>
      <c r="B480" s="219" t="s">
        <v>812</v>
      </c>
      <c r="C480" s="239">
        <v>0.13942489947101241</v>
      </c>
      <c r="D480" s="240">
        <v>0.13417453446805219</v>
      </c>
      <c r="E480" s="240">
        <v>0.18644137533773128</v>
      </c>
      <c r="F480" s="240">
        <v>0.47757377772264265</v>
      </c>
      <c r="G480" s="240">
        <v>0.31284222994091909</v>
      </c>
      <c r="H480" s="240">
        <v>0</v>
      </c>
      <c r="I480" s="240">
        <v>0</v>
      </c>
      <c r="J480" s="241">
        <v>0.16307126488462553</v>
      </c>
      <c r="K480" s="241">
        <v>0.22852847094401568</v>
      </c>
      <c r="L480" s="240">
        <v>0.25449435434141116</v>
      </c>
      <c r="M480" s="240">
        <v>0.24893216551282596</v>
      </c>
      <c r="N480" s="240">
        <v>0.33968142091908654</v>
      </c>
      <c r="O480" s="241">
        <v>0.25502337883812204</v>
      </c>
      <c r="P480" s="241">
        <v>0</v>
      </c>
      <c r="Q480" s="240">
        <v>0</v>
      </c>
      <c r="R480" s="241">
        <v>0</v>
      </c>
      <c r="S480" s="241">
        <v>0</v>
      </c>
      <c r="T480" s="241">
        <v>0</v>
      </c>
      <c r="U480" s="241">
        <v>0.21106181718715375</v>
      </c>
      <c r="V480" s="247"/>
    </row>
    <row r="481" spans="1:22">
      <c r="A481" s="242"/>
      <c r="B481" s="243" t="s">
        <v>813</v>
      </c>
      <c r="C481" s="244">
        <v>0.15503064737546646</v>
      </c>
      <c r="D481" s="245">
        <v>0.14081224664934733</v>
      </c>
      <c r="E481" s="245">
        <v>0.21207267211117797</v>
      </c>
      <c r="F481" s="245">
        <v>0.4930207000073713</v>
      </c>
      <c r="G481" s="245">
        <v>0.34772679998479089</v>
      </c>
      <c r="H481" s="245">
        <v>0</v>
      </c>
      <c r="I481" s="245">
        <v>0</v>
      </c>
      <c r="J481" s="246">
        <v>0.18140568467700574</v>
      </c>
      <c r="K481" s="246">
        <v>0.23426636183252028</v>
      </c>
      <c r="L481" s="245">
        <v>0.2733272949473034</v>
      </c>
      <c r="M481" s="245">
        <v>0.26755811440214977</v>
      </c>
      <c r="N481" s="245">
        <v>0.345632827255418</v>
      </c>
      <c r="O481" s="246">
        <v>0.27272976553423245</v>
      </c>
      <c r="P481" s="246">
        <v>0</v>
      </c>
      <c r="Q481" s="245">
        <v>0</v>
      </c>
      <c r="R481" s="246">
        <v>0</v>
      </c>
      <c r="S481" s="246">
        <v>0</v>
      </c>
      <c r="T481" s="246">
        <v>0</v>
      </c>
      <c r="U481" s="246">
        <v>0.22846887259162721</v>
      </c>
      <c r="V481" s="247"/>
    </row>
    <row r="482" spans="1:22">
      <c r="A482" s="242"/>
      <c r="B482" s="248" t="s">
        <v>814</v>
      </c>
      <c r="C482" s="249">
        <v>1.5605747904454041</v>
      </c>
      <c r="D482" s="250">
        <v>0.66377121812951356</v>
      </c>
      <c r="E482" s="250">
        <v>2.5631296773446692</v>
      </c>
      <c r="F482" s="250">
        <v>1.5446922284728659</v>
      </c>
      <c r="G482" s="250">
        <v>3.4884570043871799</v>
      </c>
      <c r="H482" s="250">
        <v>0</v>
      </c>
      <c r="I482" s="250">
        <v>0</v>
      </c>
      <c r="J482" s="253">
        <v>1.8334419792380208</v>
      </c>
      <c r="K482" s="253">
        <v>0.57378908885045987</v>
      </c>
      <c r="L482" s="250">
        <v>1.8832940605892246</v>
      </c>
      <c r="M482" s="250">
        <v>1.8625948889323811</v>
      </c>
      <c r="N482" s="250">
        <v>0.59514063363314551</v>
      </c>
      <c r="O482" s="253">
        <v>1.770638669611041</v>
      </c>
      <c r="P482" s="253">
        <v>0</v>
      </c>
      <c r="Q482" s="250">
        <v>0</v>
      </c>
      <c r="R482" s="253">
        <v>0</v>
      </c>
      <c r="S482" s="253">
        <v>0</v>
      </c>
      <c r="T482" s="253">
        <v>0</v>
      </c>
      <c r="U482" s="253">
        <v>1.7407055404473459</v>
      </c>
      <c r="V482" s="247"/>
    </row>
    <row r="483" spans="1:22">
      <c r="A483" s="242"/>
      <c r="B483" s="219" t="s">
        <v>815</v>
      </c>
      <c r="C483" s="239">
        <v>4.4938782916857916E-3</v>
      </c>
      <c r="D483" s="240">
        <v>3.294586582421758E-4</v>
      </c>
      <c r="E483" s="240">
        <v>4.0736016693664846E-3</v>
      </c>
      <c r="F483" s="240">
        <v>1.5486085266509532E-2</v>
      </c>
      <c r="G483" s="240">
        <v>1.2377854755850516E-2</v>
      </c>
      <c r="H483" s="240">
        <v>0</v>
      </c>
      <c r="I483" s="240">
        <v>0</v>
      </c>
      <c r="J483" s="241">
        <v>4.2271464247494762E-3</v>
      </c>
      <c r="K483" s="241">
        <v>9.5511800348581431E-4</v>
      </c>
      <c r="L483" s="240">
        <v>4.1866513905983497E-4</v>
      </c>
      <c r="M483" s="240">
        <v>2.1156920309014546E-2</v>
      </c>
      <c r="N483" s="240">
        <v>1.6170606951548594E-2</v>
      </c>
      <c r="O483" s="241">
        <v>4.7167672724756343E-3</v>
      </c>
      <c r="P483" s="241">
        <v>0</v>
      </c>
      <c r="Q483" s="240">
        <v>0</v>
      </c>
      <c r="R483" s="241">
        <v>0</v>
      </c>
      <c r="S483" s="241">
        <v>0</v>
      </c>
      <c r="T483" s="241">
        <v>0</v>
      </c>
      <c r="U483" s="241">
        <v>4.4826835069430816E-3</v>
      </c>
      <c r="V483" s="247"/>
    </row>
    <row r="484" spans="1:22">
      <c r="A484" s="242"/>
      <c r="B484" s="243" t="s">
        <v>816</v>
      </c>
      <c r="C484" s="244">
        <v>5.2520267525296765E-3</v>
      </c>
      <c r="D484" s="245">
        <v>2.5450329440375533E-4</v>
      </c>
      <c r="E484" s="245">
        <v>5.7877232759150328E-3</v>
      </c>
      <c r="F484" s="245">
        <v>2.3320176643636874E-2</v>
      </c>
      <c r="G484" s="245">
        <v>1.1883221017175091E-2</v>
      </c>
      <c r="H484" s="245">
        <v>0</v>
      </c>
      <c r="I484" s="245">
        <v>0</v>
      </c>
      <c r="J484" s="246">
        <v>5.229277156433996E-3</v>
      </c>
      <c r="K484" s="246">
        <v>6.3005108488855275E-4</v>
      </c>
      <c r="L484" s="245">
        <v>3.7642920489775779E-4</v>
      </c>
      <c r="M484" s="245">
        <v>1.9436415983644893E-2</v>
      </c>
      <c r="N484" s="245">
        <v>1.2853076501664579E-2</v>
      </c>
      <c r="O484" s="246">
        <v>4.3061571815023805E-3</v>
      </c>
      <c r="P484" s="246">
        <v>0</v>
      </c>
      <c r="Q484" s="245">
        <v>0</v>
      </c>
      <c r="R484" s="246">
        <v>0</v>
      </c>
      <c r="S484" s="246">
        <v>0</v>
      </c>
      <c r="T484" s="246">
        <v>0</v>
      </c>
      <c r="U484" s="246">
        <v>4.7535541221571127E-3</v>
      </c>
      <c r="V484" s="247"/>
    </row>
    <row r="485" spans="1:22">
      <c r="A485" s="242"/>
      <c r="B485" s="248" t="s">
        <v>817</v>
      </c>
      <c r="C485" s="249">
        <v>7.5814846084388487E-2</v>
      </c>
      <c r="D485" s="250">
        <v>-7.4955363838420472E-3</v>
      </c>
      <c r="E485" s="250">
        <v>0.17141216065485482</v>
      </c>
      <c r="F485" s="250">
        <v>0.78340913771273424</v>
      </c>
      <c r="G485" s="250">
        <v>-4.9463373867542591E-2</v>
      </c>
      <c r="H485" s="250">
        <v>0</v>
      </c>
      <c r="I485" s="250">
        <v>0</v>
      </c>
      <c r="J485" s="253">
        <v>0.10021307316845197</v>
      </c>
      <c r="K485" s="253">
        <v>-3.2506691859726156E-2</v>
      </c>
      <c r="L485" s="250">
        <v>-4.2235934162077179E-3</v>
      </c>
      <c r="M485" s="250">
        <v>-0.17205043253696525</v>
      </c>
      <c r="N485" s="250">
        <v>-0.33175304498840147</v>
      </c>
      <c r="O485" s="253">
        <v>-4.1061009097325372E-2</v>
      </c>
      <c r="P485" s="253">
        <v>0</v>
      </c>
      <c r="Q485" s="250">
        <v>0</v>
      </c>
      <c r="R485" s="253">
        <v>0</v>
      </c>
      <c r="S485" s="253">
        <v>0</v>
      </c>
      <c r="T485" s="253">
        <v>0</v>
      </c>
      <c r="U485" s="253">
        <v>2.7087061521403107E-2</v>
      </c>
      <c r="V485" s="247"/>
    </row>
    <row r="486" spans="1:22">
      <c r="A486" s="242"/>
      <c r="B486" s="219" t="s">
        <v>818</v>
      </c>
      <c r="C486" s="239">
        <v>1.5793382241937476E-3</v>
      </c>
      <c r="D486" s="240">
        <v>5.4472994061632483E-4</v>
      </c>
      <c r="E486" s="240">
        <v>4.5373710220856824E-3</v>
      </c>
      <c r="F486" s="240">
        <v>0</v>
      </c>
      <c r="G486" s="240">
        <v>5.8540414271546683E-3</v>
      </c>
      <c r="H486" s="240">
        <v>0</v>
      </c>
      <c r="I486" s="240">
        <v>0</v>
      </c>
      <c r="J486" s="241">
        <v>2.4932988547765114E-3</v>
      </c>
      <c r="K486" s="241">
        <v>4.6913148994744405E-3</v>
      </c>
      <c r="L486" s="240">
        <v>1.250321638547453E-3</v>
      </c>
      <c r="M486" s="240">
        <v>2.5196071876475226E-3</v>
      </c>
      <c r="N486" s="240">
        <v>9.86749365661122E-3</v>
      </c>
      <c r="O486" s="241">
        <v>1.9899652819029504E-3</v>
      </c>
      <c r="P486" s="241">
        <v>0</v>
      </c>
      <c r="Q486" s="240">
        <v>0</v>
      </c>
      <c r="R486" s="241">
        <v>0</v>
      </c>
      <c r="S486" s="241">
        <v>0</v>
      </c>
      <c r="T486" s="241">
        <v>0</v>
      </c>
      <c r="U486" s="241">
        <v>2.2306049903720107E-3</v>
      </c>
      <c r="V486" s="247"/>
    </row>
    <row r="487" spans="1:22">
      <c r="A487" s="242"/>
      <c r="B487" s="243" t="s">
        <v>819</v>
      </c>
      <c r="C487" s="244">
        <v>1.7709466679565555E-3</v>
      </c>
      <c r="D487" s="245">
        <v>2.7663401565625579E-5</v>
      </c>
      <c r="E487" s="245">
        <v>6.441824584882537E-3</v>
      </c>
      <c r="F487" s="245">
        <v>0</v>
      </c>
      <c r="G487" s="245">
        <v>1.3846983120145113E-2</v>
      </c>
      <c r="H487" s="245">
        <v>0</v>
      </c>
      <c r="I487" s="245">
        <v>0</v>
      </c>
      <c r="J487" s="246">
        <v>3.3956017196647668E-3</v>
      </c>
      <c r="K487" s="246">
        <v>1.050043880768093E-2</v>
      </c>
      <c r="L487" s="245">
        <v>2.8848961263305963E-5</v>
      </c>
      <c r="M487" s="245">
        <v>2.5459320615083812E-3</v>
      </c>
      <c r="N487" s="245">
        <v>6.5510464434713651E-3</v>
      </c>
      <c r="O487" s="246">
        <v>1.3378652869191696E-3</v>
      </c>
      <c r="P487" s="246">
        <v>0</v>
      </c>
      <c r="Q487" s="245">
        <v>0</v>
      </c>
      <c r="R487" s="246">
        <v>0</v>
      </c>
      <c r="S487" s="246">
        <v>0</v>
      </c>
      <c r="T487" s="246">
        <v>0</v>
      </c>
      <c r="U487" s="246">
        <v>2.3351625068740974E-3</v>
      </c>
      <c r="V487" s="247"/>
    </row>
    <row r="488" spans="1:22">
      <c r="A488" s="242"/>
      <c r="B488" s="248" t="s">
        <v>820</v>
      </c>
      <c r="C488" s="249">
        <v>1.9160844376280798E-2</v>
      </c>
      <c r="D488" s="250">
        <v>-5.170665390506992E-2</v>
      </c>
      <c r="E488" s="250">
        <v>0.19044535627968545</v>
      </c>
      <c r="F488" s="250">
        <v>0</v>
      </c>
      <c r="G488" s="250">
        <v>0.7992941692990444</v>
      </c>
      <c r="H488" s="250">
        <v>0</v>
      </c>
      <c r="I488" s="250">
        <v>0</v>
      </c>
      <c r="J488" s="253">
        <v>9.0230286488825542E-2</v>
      </c>
      <c r="K488" s="253">
        <v>0.58091239082064894</v>
      </c>
      <c r="L488" s="250">
        <v>-0.12214726772841471</v>
      </c>
      <c r="M488" s="250">
        <v>2.6324873860858553E-3</v>
      </c>
      <c r="N488" s="250">
        <v>-0.33164472131398548</v>
      </c>
      <c r="O488" s="253">
        <v>-6.520999949837808E-2</v>
      </c>
      <c r="P488" s="253">
        <v>0</v>
      </c>
      <c r="Q488" s="250">
        <v>0</v>
      </c>
      <c r="R488" s="253">
        <v>0</v>
      </c>
      <c r="S488" s="253">
        <v>0</v>
      </c>
      <c r="T488" s="253">
        <v>0</v>
      </c>
      <c r="U488" s="253">
        <v>1.0455751650208667E-2</v>
      </c>
      <c r="V488" s="247"/>
    </row>
    <row r="489" spans="1:22">
      <c r="A489" s="242"/>
      <c r="B489" s="219" t="s">
        <v>821</v>
      </c>
      <c r="C489" s="239">
        <v>0</v>
      </c>
      <c r="D489" s="240">
        <v>0</v>
      </c>
      <c r="E489" s="240">
        <v>0</v>
      </c>
      <c r="F489" s="240">
        <v>0</v>
      </c>
      <c r="G489" s="240">
        <v>0</v>
      </c>
      <c r="H489" s="240">
        <v>0</v>
      </c>
      <c r="I489" s="240">
        <v>0</v>
      </c>
      <c r="J489" s="241">
        <v>0</v>
      </c>
      <c r="K489" s="241">
        <v>0</v>
      </c>
      <c r="L489" s="240">
        <v>0</v>
      </c>
      <c r="M489" s="240">
        <v>0</v>
      </c>
      <c r="N489" s="240">
        <v>0</v>
      </c>
      <c r="O489" s="241">
        <v>0</v>
      </c>
      <c r="P489" s="241">
        <v>0</v>
      </c>
      <c r="Q489" s="240">
        <v>0</v>
      </c>
      <c r="R489" s="241">
        <v>0</v>
      </c>
      <c r="S489" s="241">
        <v>0</v>
      </c>
      <c r="T489" s="241">
        <v>0</v>
      </c>
      <c r="U489" s="241">
        <v>0</v>
      </c>
      <c r="V489" s="247"/>
    </row>
    <row r="490" spans="1:22">
      <c r="A490" s="242"/>
      <c r="B490" s="243" t="s">
        <v>822</v>
      </c>
      <c r="C490" s="244">
        <v>0</v>
      </c>
      <c r="D490" s="245">
        <v>0</v>
      </c>
      <c r="E490" s="245">
        <v>0</v>
      </c>
      <c r="F490" s="245">
        <v>0</v>
      </c>
      <c r="G490" s="245">
        <v>0</v>
      </c>
      <c r="H490" s="245">
        <v>0</v>
      </c>
      <c r="I490" s="245">
        <v>0</v>
      </c>
      <c r="J490" s="246">
        <v>0</v>
      </c>
      <c r="K490" s="246">
        <v>0</v>
      </c>
      <c r="L490" s="245">
        <v>0</v>
      </c>
      <c r="M490" s="245">
        <v>0</v>
      </c>
      <c r="N490" s="245">
        <v>0</v>
      </c>
      <c r="O490" s="246">
        <v>0</v>
      </c>
      <c r="P490" s="246">
        <v>0</v>
      </c>
      <c r="Q490" s="245">
        <v>0</v>
      </c>
      <c r="R490" s="246">
        <v>0</v>
      </c>
      <c r="S490" s="246">
        <v>0</v>
      </c>
      <c r="T490" s="246">
        <v>0</v>
      </c>
      <c r="U490" s="246">
        <v>0</v>
      </c>
      <c r="V490" s="247"/>
    </row>
    <row r="491" spans="1:22" ht="15.75" thickBot="1">
      <c r="A491" s="242"/>
      <c r="B491" s="257" t="s">
        <v>823</v>
      </c>
      <c r="C491" s="258">
        <v>0</v>
      </c>
      <c r="D491" s="259">
        <v>0</v>
      </c>
      <c r="E491" s="259">
        <v>0</v>
      </c>
      <c r="F491" s="259">
        <v>0</v>
      </c>
      <c r="G491" s="259">
        <v>0</v>
      </c>
      <c r="H491" s="259">
        <v>0</v>
      </c>
      <c r="I491" s="259">
        <v>0</v>
      </c>
      <c r="J491" s="260">
        <v>0</v>
      </c>
      <c r="K491" s="260">
        <v>0</v>
      </c>
      <c r="L491" s="259">
        <v>0</v>
      </c>
      <c r="M491" s="259">
        <v>0</v>
      </c>
      <c r="N491" s="259">
        <v>0</v>
      </c>
      <c r="O491" s="260">
        <v>0</v>
      </c>
      <c r="P491" s="260">
        <v>0</v>
      </c>
      <c r="Q491" s="259">
        <v>0</v>
      </c>
      <c r="R491" s="260">
        <v>0</v>
      </c>
      <c r="S491" s="260">
        <v>0</v>
      </c>
      <c r="T491" s="260">
        <v>0</v>
      </c>
      <c r="U491" s="260">
        <v>0</v>
      </c>
      <c r="V491" s="247"/>
    </row>
    <row r="492" spans="1:22" ht="15.75" thickTop="1">
      <c r="A492" s="242"/>
      <c r="B492" s="243" t="s">
        <v>824</v>
      </c>
      <c r="C492" s="244">
        <v>0.80965693656333593</v>
      </c>
      <c r="D492" s="245">
        <v>0.61022301340943041</v>
      </c>
      <c r="E492" s="245">
        <v>0.4278040901481438</v>
      </c>
      <c r="F492" s="245">
        <v>0.23906741503731574</v>
      </c>
      <c r="G492" s="245">
        <v>0.33697270471464019</v>
      </c>
      <c r="H492" s="245">
        <v>0</v>
      </c>
      <c r="I492" s="245">
        <v>0</v>
      </c>
      <c r="J492" s="246">
        <v>0.65590476894946592</v>
      </c>
      <c r="K492" s="246">
        <v>0</v>
      </c>
      <c r="L492" s="245">
        <v>0</v>
      </c>
      <c r="M492" s="245">
        <v>0</v>
      </c>
      <c r="N492" s="245">
        <v>0.10656904616636161</v>
      </c>
      <c r="O492" s="246">
        <v>0.1058728448275862</v>
      </c>
      <c r="P492" s="246">
        <v>0</v>
      </c>
      <c r="Q492" s="245">
        <v>0</v>
      </c>
      <c r="R492" s="246">
        <v>0</v>
      </c>
      <c r="S492" s="246">
        <v>0</v>
      </c>
      <c r="T492" s="246">
        <v>0</v>
      </c>
      <c r="U492" s="246">
        <v>0.65239457323192707</v>
      </c>
      <c r="V492" s="247"/>
    </row>
    <row r="493" spans="1:22">
      <c r="A493" s="242"/>
      <c r="B493" s="243" t="s">
        <v>825</v>
      </c>
      <c r="C493" s="244">
        <v>0.77972733493586932</v>
      </c>
      <c r="D493" s="245">
        <v>0.57493642371285514</v>
      </c>
      <c r="E493" s="245">
        <v>0.35812079334132091</v>
      </c>
      <c r="F493" s="245">
        <v>0.21104294478527608</v>
      </c>
      <c r="G493" s="245">
        <v>0.23775011487530809</v>
      </c>
      <c r="H493" s="245">
        <v>0</v>
      </c>
      <c r="I493" s="245">
        <v>0</v>
      </c>
      <c r="J493" s="246">
        <v>0.61378842648937648</v>
      </c>
      <c r="K493" s="246">
        <v>0</v>
      </c>
      <c r="L493" s="245">
        <v>0</v>
      </c>
      <c r="M493" s="245">
        <v>0</v>
      </c>
      <c r="N493" s="245">
        <v>0.13947449768160741</v>
      </c>
      <c r="O493" s="246">
        <v>0.13947449768160741</v>
      </c>
      <c r="P493" s="246">
        <v>0</v>
      </c>
      <c r="Q493" s="245">
        <v>0</v>
      </c>
      <c r="R493" s="246">
        <v>0</v>
      </c>
      <c r="S493" s="246">
        <v>0</v>
      </c>
      <c r="T493" s="246">
        <v>0</v>
      </c>
      <c r="U493" s="246">
        <v>0.61049333059029331</v>
      </c>
      <c r="V493" s="247"/>
    </row>
    <row r="494" spans="1:22">
      <c r="A494" s="242"/>
      <c r="B494" s="248" t="s">
        <v>826</v>
      </c>
      <c r="C494" s="249">
        <v>-2.9929601627466607</v>
      </c>
      <c r="D494" s="250">
        <v>-3.5286589696575277</v>
      </c>
      <c r="E494" s="250">
        <v>-6.968329680682289</v>
      </c>
      <c r="F494" s="252">
        <v>-2.8024470252039664</v>
      </c>
      <c r="G494" s="252">
        <v>-9.9222589839332098</v>
      </c>
      <c r="H494" s="252">
        <v>0</v>
      </c>
      <c r="I494" s="250">
        <v>0</v>
      </c>
      <c r="J494" s="253">
        <v>-4.211634246008944</v>
      </c>
      <c r="K494" s="253">
        <v>0</v>
      </c>
      <c r="L494" s="250">
        <v>0</v>
      </c>
      <c r="M494" s="250">
        <v>0</v>
      </c>
      <c r="N494" s="250">
        <v>3.2905451515245807</v>
      </c>
      <c r="O494" s="253">
        <v>3.3601652854021209</v>
      </c>
      <c r="P494" s="253">
        <v>0</v>
      </c>
      <c r="Q494" s="250">
        <v>0</v>
      </c>
      <c r="R494" s="253">
        <v>0</v>
      </c>
      <c r="S494" s="253">
        <v>0</v>
      </c>
      <c r="T494" s="253">
        <v>0</v>
      </c>
      <c r="U494" s="253">
        <v>-4.1901242641633747</v>
      </c>
      <c r="V494" s="247"/>
    </row>
    <row r="495" spans="1:22">
      <c r="A495" s="242"/>
      <c r="B495" s="219" t="s">
        <v>827</v>
      </c>
      <c r="C495" s="239">
        <v>1.7107026009324532E-2</v>
      </c>
      <c r="D495" s="240">
        <v>4.197268018642597E-2</v>
      </c>
      <c r="E495" s="240">
        <v>3.1658969246774513E-2</v>
      </c>
      <c r="F495" s="240">
        <v>7.9658298895947693E-2</v>
      </c>
      <c r="G495" s="240">
        <v>7.8931820867304738E-3</v>
      </c>
      <c r="H495" s="240">
        <v>0</v>
      </c>
      <c r="I495" s="240">
        <v>0</v>
      </c>
      <c r="J495" s="241">
        <v>2.4710102704987139E-2</v>
      </c>
      <c r="K495" s="241">
        <v>0</v>
      </c>
      <c r="L495" s="240">
        <v>0</v>
      </c>
      <c r="M495" s="240">
        <v>0</v>
      </c>
      <c r="N495" s="240">
        <v>0.61426343976679543</v>
      </c>
      <c r="O495" s="241">
        <v>0.61025053879310343</v>
      </c>
      <c r="P495" s="241">
        <v>0</v>
      </c>
      <c r="Q495" s="240">
        <v>0</v>
      </c>
      <c r="R495" s="241">
        <v>0</v>
      </c>
      <c r="S495" s="241">
        <v>0</v>
      </c>
      <c r="T495" s="241">
        <v>0</v>
      </c>
      <c r="U495" s="241">
        <v>2.8446906772285056E-2</v>
      </c>
      <c r="V495" s="247"/>
    </row>
    <row r="496" spans="1:22">
      <c r="A496" s="242"/>
      <c r="B496" s="243" t="s">
        <v>828</v>
      </c>
      <c r="C496" s="244">
        <v>1.5341319567086424E-2</v>
      </c>
      <c r="D496" s="245">
        <v>5.3958448826588526E-2</v>
      </c>
      <c r="E496" s="245">
        <v>2.7828804076836695E-2</v>
      </c>
      <c r="F496" s="245">
        <v>6.5994741454864156E-2</v>
      </c>
      <c r="G496" s="245">
        <v>4.6785580015873676E-3</v>
      </c>
      <c r="H496" s="245">
        <v>0</v>
      </c>
      <c r="I496" s="245">
        <v>0</v>
      </c>
      <c r="J496" s="246">
        <v>2.3403406884179259E-2</v>
      </c>
      <c r="K496" s="246">
        <v>0</v>
      </c>
      <c r="L496" s="245">
        <v>0</v>
      </c>
      <c r="M496" s="245">
        <v>0</v>
      </c>
      <c r="N496" s="245">
        <v>0.60649149922720247</v>
      </c>
      <c r="O496" s="246">
        <v>0.60649149922720247</v>
      </c>
      <c r="P496" s="246">
        <v>0</v>
      </c>
      <c r="Q496" s="245">
        <v>0</v>
      </c>
      <c r="R496" s="246">
        <v>0</v>
      </c>
      <c r="S496" s="246">
        <v>0</v>
      </c>
      <c r="T496" s="246">
        <v>0</v>
      </c>
      <c r="U496" s="246">
        <v>2.7454165390709256E-2</v>
      </c>
      <c r="V496" s="247"/>
    </row>
    <row r="497" spans="1:22">
      <c r="A497" s="242"/>
      <c r="B497" s="248" t="s">
        <v>829</v>
      </c>
      <c r="C497" s="249">
        <v>-0.17657064422381077</v>
      </c>
      <c r="D497" s="250">
        <v>1.1985768640162555</v>
      </c>
      <c r="E497" s="252">
        <v>-0.3830165169937817</v>
      </c>
      <c r="F497" s="252">
        <v>-1.3663557441083538</v>
      </c>
      <c r="G497" s="250">
        <v>-0.32146240851431063</v>
      </c>
      <c r="H497" s="250">
        <v>0</v>
      </c>
      <c r="I497" s="250">
        <v>0</v>
      </c>
      <c r="J497" s="253">
        <v>-0.13066958208078799</v>
      </c>
      <c r="K497" s="253">
        <v>0</v>
      </c>
      <c r="L497" s="250">
        <v>0</v>
      </c>
      <c r="M497" s="250">
        <v>0</v>
      </c>
      <c r="N497" s="250">
        <v>-0.77719405395929586</v>
      </c>
      <c r="O497" s="253">
        <v>-0.37590395659009568</v>
      </c>
      <c r="P497" s="253">
        <v>0</v>
      </c>
      <c r="Q497" s="250">
        <v>0</v>
      </c>
      <c r="R497" s="253">
        <v>0</v>
      </c>
      <c r="S497" s="253">
        <v>0</v>
      </c>
      <c r="T497" s="253">
        <v>0</v>
      </c>
      <c r="U497" s="253">
        <v>-9.9274138157580058E-2</v>
      </c>
      <c r="V497" s="247"/>
    </row>
    <row r="498" spans="1:22">
      <c r="A498" s="242"/>
      <c r="B498" s="219" t="s">
        <v>830</v>
      </c>
      <c r="C498" s="239">
        <v>0.1676477781554899</v>
      </c>
      <c r="D498" s="240">
        <v>0.33619293835598058</v>
      </c>
      <c r="E498" s="240">
        <v>0.5267138326421078</v>
      </c>
      <c r="F498" s="240">
        <v>0.72540553876518843</v>
      </c>
      <c r="G498" s="240">
        <v>0.58057426444523219</v>
      </c>
      <c r="H498" s="240">
        <v>0</v>
      </c>
      <c r="I498" s="240">
        <v>0</v>
      </c>
      <c r="J498" s="241">
        <v>0.31010867444686252</v>
      </c>
      <c r="K498" s="241">
        <v>0</v>
      </c>
      <c r="L498" s="240">
        <v>0</v>
      </c>
      <c r="M498" s="240">
        <v>0</v>
      </c>
      <c r="N498" s="240">
        <v>0.27916751406684293</v>
      </c>
      <c r="O498" s="241">
        <v>0.27734375</v>
      </c>
      <c r="P498" s="241">
        <v>0</v>
      </c>
      <c r="Q498" s="240">
        <v>0</v>
      </c>
      <c r="R498" s="241">
        <v>0</v>
      </c>
      <c r="S498" s="241">
        <v>0</v>
      </c>
      <c r="T498" s="241">
        <v>0</v>
      </c>
      <c r="U498" s="241">
        <v>0.30989957513383176</v>
      </c>
      <c r="V498" s="247"/>
    </row>
    <row r="499" spans="1:22">
      <c r="A499" s="242"/>
      <c r="B499" s="243" t="s">
        <v>831</v>
      </c>
      <c r="C499" s="244">
        <v>0.19933721837693263</v>
      </c>
      <c r="D499" s="245">
        <v>0.36109131226736357</v>
      </c>
      <c r="E499" s="245">
        <v>0.59610584628903507</v>
      </c>
      <c r="F499" s="245">
        <v>0.7028045574057844</v>
      </c>
      <c r="G499" s="245">
        <v>0.70180458665775514</v>
      </c>
      <c r="H499" s="245">
        <v>0</v>
      </c>
      <c r="I499" s="245">
        <v>0</v>
      </c>
      <c r="J499" s="246">
        <v>0.35182916966172495</v>
      </c>
      <c r="K499" s="246">
        <v>0</v>
      </c>
      <c r="L499" s="245">
        <v>0</v>
      </c>
      <c r="M499" s="245">
        <v>0</v>
      </c>
      <c r="N499" s="245">
        <v>0.25403400309119012</v>
      </c>
      <c r="O499" s="246">
        <v>0.25403400309119012</v>
      </c>
      <c r="P499" s="246">
        <v>0</v>
      </c>
      <c r="Q499" s="245">
        <v>0</v>
      </c>
      <c r="R499" s="246">
        <v>0</v>
      </c>
      <c r="S499" s="246">
        <v>0</v>
      </c>
      <c r="T499" s="246">
        <v>0</v>
      </c>
      <c r="U499" s="246">
        <v>0.35114977900346045</v>
      </c>
      <c r="V499" s="247"/>
    </row>
    <row r="500" spans="1:22">
      <c r="A500" s="242"/>
      <c r="B500" s="248" t="s">
        <v>832</v>
      </c>
      <c r="C500" s="249">
        <v>3.1689440221442737</v>
      </c>
      <c r="D500" s="250">
        <v>2.4898373911383</v>
      </c>
      <c r="E500" s="252">
        <v>6.9392013646927264</v>
      </c>
      <c r="F500" s="250">
        <v>-2.2600981359404027</v>
      </c>
      <c r="G500" s="252">
        <v>12.123032221252295</v>
      </c>
      <c r="H500" s="252">
        <v>0</v>
      </c>
      <c r="I500" s="250">
        <v>0</v>
      </c>
      <c r="J500" s="253">
        <v>4.172049521486243</v>
      </c>
      <c r="K500" s="253">
        <v>0</v>
      </c>
      <c r="L500" s="250">
        <v>0</v>
      </c>
      <c r="M500" s="250">
        <v>0</v>
      </c>
      <c r="N500" s="250">
        <v>-2.5133510975652804</v>
      </c>
      <c r="O500" s="253">
        <v>-2.3309746908809883</v>
      </c>
      <c r="P500" s="253">
        <v>0</v>
      </c>
      <c r="Q500" s="250">
        <v>0</v>
      </c>
      <c r="R500" s="253">
        <v>0</v>
      </c>
      <c r="S500" s="253">
        <v>0</v>
      </c>
      <c r="T500" s="253">
        <v>0</v>
      </c>
      <c r="U500" s="253">
        <v>4.125020386962869</v>
      </c>
      <c r="V500" s="247"/>
    </row>
    <row r="501" spans="1:22">
      <c r="A501" s="242"/>
      <c r="B501" s="219" t="s">
        <v>833</v>
      </c>
      <c r="C501" s="239">
        <v>1.877365934845173E-3</v>
      </c>
      <c r="D501" s="240">
        <v>9.9922173419091671E-3</v>
      </c>
      <c r="E501" s="240">
        <v>4.3843045542366656E-3</v>
      </c>
      <c r="F501" s="240">
        <v>1.5913156109295012E-2</v>
      </c>
      <c r="G501" s="240">
        <v>7.4441687344913151E-3</v>
      </c>
      <c r="H501" s="240">
        <v>0</v>
      </c>
      <c r="I501" s="240">
        <v>0</v>
      </c>
      <c r="J501" s="241">
        <v>3.7343728844645677E-3</v>
      </c>
      <c r="K501" s="241">
        <v>0</v>
      </c>
      <c r="L501" s="240">
        <v>0</v>
      </c>
      <c r="M501" s="240">
        <v>0</v>
      </c>
      <c r="N501" s="240">
        <v>0</v>
      </c>
      <c r="O501" s="241">
        <v>0</v>
      </c>
      <c r="P501" s="241">
        <v>0</v>
      </c>
      <c r="Q501" s="240">
        <v>0</v>
      </c>
      <c r="R501" s="241">
        <v>0</v>
      </c>
      <c r="S501" s="241">
        <v>0</v>
      </c>
      <c r="T501" s="241">
        <v>0</v>
      </c>
      <c r="U501" s="241">
        <v>3.7105408501191648E-3</v>
      </c>
      <c r="V501" s="247"/>
    </row>
    <row r="502" spans="1:22">
      <c r="A502" s="242"/>
      <c r="B502" s="243" t="s">
        <v>834</v>
      </c>
      <c r="C502" s="244">
        <v>1.4669993797865337E-3</v>
      </c>
      <c r="D502" s="245">
        <v>8.2627174573004936E-3</v>
      </c>
      <c r="E502" s="245">
        <v>5.7536467945929308E-3</v>
      </c>
      <c r="F502" s="245">
        <v>2.0157756354075372E-2</v>
      </c>
      <c r="G502" s="245">
        <v>3.2582814653912026E-3</v>
      </c>
      <c r="H502" s="254">
        <v>0</v>
      </c>
      <c r="I502" s="245">
        <v>0</v>
      </c>
      <c r="J502" s="246">
        <v>3.7316047197793216E-3</v>
      </c>
      <c r="K502" s="246">
        <v>0</v>
      </c>
      <c r="L502" s="245">
        <v>0</v>
      </c>
      <c r="M502" s="245">
        <v>0</v>
      </c>
      <c r="N502" s="245">
        <v>0</v>
      </c>
      <c r="O502" s="246">
        <v>0</v>
      </c>
      <c r="P502" s="246">
        <v>0</v>
      </c>
      <c r="Q502" s="245">
        <v>0</v>
      </c>
      <c r="R502" s="246">
        <v>0</v>
      </c>
      <c r="S502" s="246">
        <v>0</v>
      </c>
      <c r="T502" s="246">
        <v>0</v>
      </c>
      <c r="U502" s="246">
        <v>3.7056809704176879E-3</v>
      </c>
      <c r="V502" s="247"/>
    </row>
    <row r="503" spans="1:22">
      <c r="A503" s="242"/>
      <c r="B503" s="248" t="s">
        <v>835</v>
      </c>
      <c r="C503" s="249">
        <v>-4.1036655505863939E-2</v>
      </c>
      <c r="D503" s="250">
        <v>-0.17294998846086734</v>
      </c>
      <c r="E503" s="250">
        <v>0.13693422403562652</v>
      </c>
      <c r="F503" s="250">
        <v>0.42446002447803605</v>
      </c>
      <c r="G503" s="250">
        <v>-0.41858872691001131</v>
      </c>
      <c r="H503" s="252">
        <v>0</v>
      </c>
      <c r="I503" s="250">
        <v>0</v>
      </c>
      <c r="J503" s="253">
        <v>-2.7681646852461238E-4</v>
      </c>
      <c r="K503" s="253">
        <v>0</v>
      </c>
      <c r="L503" s="250">
        <v>0</v>
      </c>
      <c r="M503" s="250">
        <v>0</v>
      </c>
      <c r="N503" s="250">
        <v>0</v>
      </c>
      <c r="O503" s="253">
        <v>0</v>
      </c>
      <c r="P503" s="253">
        <v>0</v>
      </c>
      <c r="Q503" s="250">
        <v>0</v>
      </c>
      <c r="R503" s="253">
        <v>0</v>
      </c>
      <c r="S503" s="253">
        <v>0</v>
      </c>
      <c r="T503" s="253">
        <v>0</v>
      </c>
      <c r="U503" s="253">
        <v>-4.859879701476881E-4</v>
      </c>
      <c r="V503" s="247"/>
    </row>
    <row r="504" spans="1:22">
      <c r="A504" s="242"/>
      <c r="B504" s="219" t="s">
        <v>836</v>
      </c>
      <c r="C504" s="239">
        <v>3.7108933370044901E-3</v>
      </c>
      <c r="D504" s="240">
        <v>1.6191507062538579E-3</v>
      </c>
      <c r="E504" s="240">
        <v>9.4388034087372029E-3</v>
      </c>
      <c r="F504" s="240">
        <v>0</v>
      </c>
      <c r="G504" s="240">
        <v>2.3395958879829849E-2</v>
      </c>
      <c r="H504" s="240">
        <v>0</v>
      </c>
      <c r="I504" s="240">
        <v>0</v>
      </c>
      <c r="J504" s="241">
        <v>5.5840402601127189E-3</v>
      </c>
      <c r="K504" s="241">
        <v>0</v>
      </c>
      <c r="L504" s="240">
        <v>0</v>
      </c>
      <c r="M504" s="240">
        <v>0</v>
      </c>
      <c r="N504" s="240">
        <v>0</v>
      </c>
      <c r="O504" s="241">
        <v>0</v>
      </c>
      <c r="P504" s="241">
        <v>0</v>
      </c>
      <c r="Q504" s="240">
        <v>0</v>
      </c>
      <c r="R504" s="241">
        <v>0</v>
      </c>
      <c r="S504" s="241">
        <v>0</v>
      </c>
      <c r="T504" s="241">
        <v>0</v>
      </c>
      <c r="U504" s="241">
        <v>5.5484040118369393E-3</v>
      </c>
      <c r="V504" s="247"/>
    </row>
    <row r="505" spans="1:22">
      <c r="A505" s="242"/>
      <c r="B505" s="243" t="s">
        <v>837</v>
      </c>
      <c r="C505" s="244">
        <v>4.1271277403250898E-3</v>
      </c>
      <c r="D505" s="245">
        <v>1.751097735892224E-3</v>
      </c>
      <c r="E505" s="245">
        <v>1.219090949821436E-2</v>
      </c>
      <c r="F505" s="245">
        <v>0</v>
      </c>
      <c r="G505" s="245">
        <v>5.2508458999958228E-2</v>
      </c>
      <c r="H505" s="245">
        <v>0</v>
      </c>
      <c r="I505" s="245">
        <v>0</v>
      </c>
      <c r="J505" s="246">
        <v>7.2473922449399738E-3</v>
      </c>
      <c r="K505" s="246">
        <v>0</v>
      </c>
      <c r="L505" s="245">
        <v>0</v>
      </c>
      <c r="M505" s="245">
        <v>0</v>
      </c>
      <c r="N505" s="245">
        <v>0</v>
      </c>
      <c r="O505" s="246">
        <v>0</v>
      </c>
      <c r="P505" s="246">
        <v>0</v>
      </c>
      <c r="Q505" s="245">
        <v>0</v>
      </c>
      <c r="R505" s="246">
        <v>0</v>
      </c>
      <c r="S505" s="246">
        <v>0</v>
      </c>
      <c r="T505" s="246">
        <v>0</v>
      </c>
      <c r="U505" s="246">
        <v>7.1970440451192856E-3</v>
      </c>
      <c r="V505" s="247"/>
    </row>
    <row r="506" spans="1:22">
      <c r="A506" s="242"/>
      <c r="B506" s="248" t="s">
        <v>838</v>
      </c>
      <c r="C506" s="249">
        <v>4.1623440332059974E-2</v>
      </c>
      <c r="D506" s="250">
        <v>1.3194702963836607E-2</v>
      </c>
      <c r="E506" s="250">
        <v>0.27521060894771571</v>
      </c>
      <c r="F506" s="250">
        <v>0</v>
      </c>
      <c r="G506" s="250">
        <v>2.9112500120128377</v>
      </c>
      <c r="H506" s="250">
        <v>0</v>
      </c>
      <c r="I506" s="250">
        <v>0</v>
      </c>
      <c r="J506" s="253">
        <v>0.16633519848272549</v>
      </c>
      <c r="K506" s="253">
        <v>0</v>
      </c>
      <c r="L506" s="250">
        <v>0</v>
      </c>
      <c r="M506" s="250">
        <v>0</v>
      </c>
      <c r="N506" s="250">
        <v>0</v>
      </c>
      <c r="O506" s="253">
        <v>0</v>
      </c>
      <c r="P506" s="253">
        <v>0</v>
      </c>
      <c r="Q506" s="250">
        <v>0</v>
      </c>
      <c r="R506" s="253">
        <v>0</v>
      </c>
      <c r="S506" s="253">
        <v>0</v>
      </c>
      <c r="T506" s="253">
        <v>0</v>
      </c>
      <c r="U506" s="253">
        <v>0.16486400332823464</v>
      </c>
      <c r="V506" s="247"/>
    </row>
    <row r="507" spans="1:22">
      <c r="A507" s="242"/>
      <c r="B507" s="219" t="s">
        <v>839</v>
      </c>
      <c r="C507" s="239">
        <v>0</v>
      </c>
      <c r="D507" s="240">
        <v>0</v>
      </c>
      <c r="E507" s="240">
        <v>0</v>
      </c>
      <c r="F507" s="240">
        <v>0</v>
      </c>
      <c r="G507" s="240">
        <v>0</v>
      </c>
      <c r="H507" s="240">
        <v>0</v>
      </c>
      <c r="I507" s="240">
        <v>0</v>
      </c>
      <c r="J507" s="241">
        <v>0</v>
      </c>
      <c r="K507" s="241">
        <v>0</v>
      </c>
      <c r="L507" s="240">
        <v>0</v>
      </c>
      <c r="M507" s="240">
        <v>0</v>
      </c>
      <c r="N507" s="240">
        <v>0</v>
      </c>
      <c r="O507" s="241">
        <v>0</v>
      </c>
      <c r="P507" s="241">
        <v>0</v>
      </c>
      <c r="Q507" s="240">
        <v>0</v>
      </c>
      <c r="R507" s="241">
        <v>0</v>
      </c>
      <c r="S507" s="241">
        <v>0</v>
      </c>
      <c r="T507" s="241">
        <v>0</v>
      </c>
      <c r="U507" s="241">
        <v>0</v>
      </c>
      <c r="V507" s="247"/>
    </row>
    <row r="508" spans="1:22">
      <c r="A508" s="242"/>
      <c r="B508" s="243" t="s">
        <v>840</v>
      </c>
      <c r="C508" s="244">
        <v>0</v>
      </c>
      <c r="D508" s="245">
        <v>0</v>
      </c>
      <c r="E508" s="245">
        <v>0</v>
      </c>
      <c r="F508" s="245">
        <v>0</v>
      </c>
      <c r="G508" s="245">
        <v>0</v>
      </c>
      <c r="H508" s="245">
        <v>0</v>
      </c>
      <c r="I508" s="245">
        <v>0</v>
      </c>
      <c r="J508" s="246">
        <v>0</v>
      </c>
      <c r="K508" s="246">
        <v>0</v>
      </c>
      <c r="L508" s="245">
        <v>0</v>
      </c>
      <c r="M508" s="245">
        <v>0</v>
      </c>
      <c r="N508" s="245">
        <v>0</v>
      </c>
      <c r="O508" s="246">
        <v>0</v>
      </c>
      <c r="P508" s="246">
        <v>0</v>
      </c>
      <c r="Q508" s="245">
        <v>0</v>
      </c>
      <c r="R508" s="246">
        <v>0</v>
      </c>
      <c r="S508" s="246">
        <v>0</v>
      </c>
      <c r="T508" s="246">
        <v>0</v>
      </c>
      <c r="U508" s="246">
        <v>0</v>
      </c>
      <c r="V508" s="247"/>
    </row>
    <row r="509" spans="1:22" ht="15.75" thickBot="1">
      <c r="A509" s="261"/>
      <c r="B509" s="262" t="s">
        <v>841</v>
      </c>
      <c r="C509" s="263">
        <v>0</v>
      </c>
      <c r="D509" s="264">
        <v>0</v>
      </c>
      <c r="E509" s="264">
        <v>0</v>
      </c>
      <c r="F509" s="264">
        <v>0</v>
      </c>
      <c r="G509" s="264">
        <v>0</v>
      </c>
      <c r="H509" s="264">
        <v>0</v>
      </c>
      <c r="I509" s="264">
        <v>0</v>
      </c>
      <c r="J509" s="265">
        <v>0</v>
      </c>
      <c r="K509" s="265">
        <v>0</v>
      </c>
      <c r="L509" s="264">
        <v>0</v>
      </c>
      <c r="M509" s="264">
        <v>0</v>
      </c>
      <c r="N509" s="264">
        <v>0</v>
      </c>
      <c r="O509" s="265">
        <v>0</v>
      </c>
      <c r="P509" s="265">
        <v>0</v>
      </c>
      <c r="Q509" s="264">
        <v>0</v>
      </c>
      <c r="R509" s="265">
        <v>0</v>
      </c>
      <c r="S509" s="265">
        <v>0</v>
      </c>
      <c r="T509" s="265">
        <v>0</v>
      </c>
      <c r="U509" s="265">
        <v>0</v>
      </c>
      <c r="V509" s="247"/>
    </row>
    <row r="510" spans="1:22">
      <c r="A510" s="238" t="s">
        <v>692</v>
      </c>
      <c r="B510" s="219" t="s">
        <v>806</v>
      </c>
      <c r="C510" s="239">
        <v>0.89930440115402155</v>
      </c>
      <c r="D510" s="240">
        <v>0.97344116554949567</v>
      </c>
      <c r="E510" s="240">
        <v>0.91063317394485155</v>
      </c>
      <c r="F510" s="240">
        <v>0</v>
      </c>
      <c r="G510" s="240">
        <v>0.9953421467223782</v>
      </c>
      <c r="H510" s="240">
        <v>0.80313459493086636</v>
      </c>
      <c r="I510" s="240">
        <v>0</v>
      </c>
      <c r="J510" s="241">
        <v>0.9071756069087703</v>
      </c>
      <c r="K510" s="241">
        <v>0</v>
      </c>
      <c r="L510" s="240">
        <v>0.65565847952185297</v>
      </c>
      <c r="M510" s="240">
        <v>0.46834593272746511</v>
      </c>
      <c r="N510" s="240">
        <v>0.38346369636163496</v>
      </c>
      <c r="O510" s="241">
        <v>0.57347941551192183</v>
      </c>
      <c r="P510" s="241">
        <v>0</v>
      </c>
      <c r="Q510" s="240">
        <v>0</v>
      </c>
      <c r="R510" s="241">
        <v>0</v>
      </c>
      <c r="S510" s="241">
        <v>0</v>
      </c>
      <c r="T510" s="241">
        <v>0</v>
      </c>
      <c r="U510" s="241">
        <v>0.77212799774284147</v>
      </c>
      <c r="V510" s="247"/>
    </row>
    <row r="511" spans="1:22">
      <c r="A511" s="242"/>
      <c r="B511" s="243" t="s">
        <v>807</v>
      </c>
      <c r="C511" s="244">
        <v>0.89178831935933944</v>
      </c>
      <c r="D511" s="245">
        <v>0.96901220365707486</v>
      </c>
      <c r="E511" s="245">
        <v>0.90040973204681796</v>
      </c>
      <c r="F511" s="245">
        <v>0</v>
      </c>
      <c r="G511" s="245">
        <v>0.99468225427988277</v>
      </c>
      <c r="H511" s="245">
        <v>0.77384827240861287</v>
      </c>
      <c r="I511" s="245">
        <v>0</v>
      </c>
      <c r="J511" s="246">
        <v>0.89896122875830498</v>
      </c>
      <c r="K511" s="246">
        <v>0</v>
      </c>
      <c r="L511" s="245">
        <v>0.63918781923811752</v>
      </c>
      <c r="M511" s="245">
        <v>0.44910880645129492</v>
      </c>
      <c r="N511" s="245">
        <v>0.36628720200112308</v>
      </c>
      <c r="O511" s="246">
        <v>0.55634256298597151</v>
      </c>
      <c r="P511" s="246">
        <v>0</v>
      </c>
      <c r="Q511" s="245">
        <v>0</v>
      </c>
      <c r="R511" s="246">
        <v>0</v>
      </c>
      <c r="S511" s="246">
        <v>0</v>
      </c>
      <c r="T511" s="246">
        <v>0</v>
      </c>
      <c r="U511" s="246">
        <v>0.76481539595131753</v>
      </c>
      <c r="V511" s="247"/>
    </row>
    <row r="512" spans="1:22">
      <c r="A512" s="242"/>
      <c r="B512" s="248" t="s">
        <v>808</v>
      </c>
      <c r="C512" s="249">
        <v>-0.75160817946821057</v>
      </c>
      <c r="D512" s="250">
        <v>-0.4428961892420813</v>
      </c>
      <c r="E512" s="250">
        <v>-1.0223441898033592</v>
      </c>
      <c r="F512" s="250">
        <v>0</v>
      </c>
      <c r="G512" s="250">
        <v>-6.5989244249542445E-2</v>
      </c>
      <c r="H512" s="250">
        <v>-2.9286322522253494</v>
      </c>
      <c r="I512" s="250">
        <v>0</v>
      </c>
      <c r="J512" s="253">
        <v>-0.8214378150465329</v>
      </c>
      <c r="K512" s="253">
        <v>0</v>
      </c>
      <c r="L512" s="250">
        <v>-1.647066028373545</v>
      </c>
      <c r="M512" s="250">
        <v>-1.9237126276170191</v>
      </c>
      <c r="N512" s="250">
        <v>-1.7176494360511885</v>
      </c>
      <c r="O512" s="253">
        <v>-1.7136852525950319</v>
      </c>
      <c r="P512" s="253">
        <v>0</v>
      </c>
      <c r="Q512" s="250">
        <v>0</v>
      </c>
      <c r="R512" s="253">
        <v>0</v>
      </c>
      <c r="S512" s="253">
        <v>0</v>
      </c>
      <c r="T512" s="253">
        <v>0</v>
      </c>
      <c r="U512" s="253">
        <v>-0.73126017915239316</v>
      </c>
      <c r="V512" s="247"/>
    </row>
    <row r="513" spans="1:22">
      <c r="A513" s="242"/>
      <c r="B513" s="219" t="s">
        <v>809</v>
      </c>
      <c r="C513" s="239">
        <v>1.5294946635355709E-2</v>
      </c>
      <c r="D513" s="240">
        <v>2.4138833978309071E-2</v>
      </c>
      <c r="E513" s="240">
        <v>1.7551193835509779E-2</v>
      </c>
      <c r="F513" s="240">
        <v>0</v>
      </c>
      <c r="G513" s="240">
        <v>4.6578532776217546E-3</v>
      </c>
      <c r="H513" s="240">
        <v>0</v>
      </c>
      <c r="I513" s="240">
        <v>0</v>
      </c>
      <c r="J513" s="241">
        <v>1.5781268562112847E-2</v>
      </c>
      <c r="K513" s="241">
        <v>0</v>
      </c>
      <c r="L513" s="240">
        <v>6.7731952981648288E-2</v>
      </c>
      <c r="M513" s="240">
        <v>0.23719153038550619</v>
      </c>
      <c r="N513" s="240">
        <v>0.23244705870943028</v>
      </c>
      <c r="O513" s="241">
        <v>0.13190273015984447</v>
      </c>
      <c r="P513" s="241">
        <v>0</v>
      </c>
      <c r="Q513" s="240">
        <v>0</v>
      </c>
      <c r="R513" s="241">
        <v>0</v>
      </c>
      <c r="S513" s="241">
        <v>0</v>
      </c>
      <c r="T513" s="241">
        <v>0</v>
      </c>
      <c r="U513" s="241">
        <v>6.2775888716399011E-2</v>
      </c>
      <c r="V513" s="247"/>
    </row>
    <row r="514" spans="1:22">
      <c r="A514" s="242"/>
      <c r="B514" s="243" t="s">
        <v>810</v>
      </c>
      <c r="C514" s="244">
        <v>1.3141432591715593E-2</v>
      </c>
      <c r="D514" s="245">
        <v>2.7496440264828208E-2</v>
      </c>
      <c r="E514" s="245">
        <v>1.4754182748046711E-2</v>
      </c>
      <c r="F514" s="245">
        <v>0</v>
      </c>
      <c r="G514" s="245">
        <v>5.3177457201171851E-3</v>
      </c>
      <c r="H514" s="245">
        <v>0</v>
      </c>
      <c r="I514" s="245">
        <v>0</v>
      </c>
      <c r="J514" s="246">
        <v>1.3771078911518443E-2</v>
      </c>
      <c r="K514" s="246">
        <v>0</v>
      </c>
      <c r="L514" s="245">
        <v>8.1955312306969313E-2</v>
      </c>
      <c r="M514" s="245">
        <v>0.24836474856314758</v>
      </c>
      <c r="N514" s="245">
        <v>0.24012455970187349</v>
      </c>
      <c r="O514" s="246">
        <v>0.1444490123231216</v>
      </c>
      <c r="P514" s="246">
        <v>0</v>
      </c>
      <c r="Q514" s="245">
        <v>0</v>
      </c>
      <c r="R514" s="246">
        <v>0</v>
      </c>
      <c r="S514" s="246">
        <v>0</v>
      </c>
      <c r="T514" s="246">
        <v>0</v>
      </c>
      <c r="U514" s="246">
        <v>6.4935542375525956E-2</v>
      </c>
      <c r="V514" s="247"/>
    </row>
    <row r="515" spans="1:22">
      <c r="A515" s="242"/>
      <c r="B515" s="248" t="s">
        <v>811</v>
      </c>
      <c r="C515" s="249">
        <v>-0.21535140436401162</v>
      </c>
      <c r="D515" s="250">
        <v>0.33576062865191375</v>
      </c>
      <c r="E515" s="250">
        <v>-0.27970110874630683</v>
      </c>
      <c r="F515" s="250">
        <v>0</v>
      </c>
      <c r="G515" s="250">
        <v>6.5989244249543055E-2</v>
      </c>
      <c r="H515" s="250">
        <v>0</v>
      </c>
      <c r="I515" s="250">
        <v>0</v>
      </c>
      <c r="J515" s="253">
        <v>-0.20101896505944039</v>
      </c>
      <c r="K515" s="253">
        <v>0</v>
      </c>
      <c r="L515" s="250">
        <v>1.4223359325321026</v>
      </c>
      <c r="M515" s="250">
        <v>1.1173218177641386</v>
      </c>
      <c r="N515" s="250">
        <v>0.76775009924432147</v>
      </c>
      <c r="O515" s="253">
        <v>1.2546282163277134</v>
      </c>
      <c r="P515" s="253">
        <v>0</v>
      </c>
      <c r="Q515" s="250">
        <v>0</v>
      </c>
      <c r="R515" s="253">
        <v>0</v>
      </c>
      <c r="S515" s="253">
        <v>0</v>
      </c>
      <c r="T515" s="253">
        <v>0</v>
      </c>
      <c r="U515" s="253">
        <v>0.2159653659126945</v>
      </c>
      <c r="V515" s="247"/>
    </row>
    <row r="516" spans="1:22">
      <c r="A516" s="242"/>
      <c r="B516" s="219" t="s">
        <v>812</v>
      </c>
      <c r="C516" s="239">
        <v>7.6056158807594046E-2</v>
      </c>
      <c r="D516" s="240">
        <v>2.1248784633909196E-3</v>
      </c>
      <c r="E516" s="240">
        <v>7.0280702976750362E-2</v>
      </c>
      <c r="F516" s="240">
        <v>0</v>
      </c>
      <c r="G516" s="240">
        <v>0</v>
      </c>
      <c r="H516" s="240">
        <v>0.19686540506913366</v>
      </c>
      <c r="I516" s="240">
        <v>0</v>
      </c>
      <c r="J516" s="241">
        <v>7.0580127900189513E-2</v>
      </c>
      <c r="K516" s="241">
        <v>0</v>
      </c>
      <c r="L516" s="240">
        <v>0.27546890645673411</v>
      </c>
      <c r="M516" s="240">
        <v>0.25255769660345417</v>
      </c>
      <c r="N516" s="240">
        <v>0.30753955746075773</v>
      </c>
      <c r="O516" s="241">
        <v>0.27357456480432363</v>
      </c>
      <c r="P516" s="241">
        <v>0</v>
      </c>
      <c r="Q516" s="240">
        <v>0</v>
      </c>
      <c r="R516" s="241">
        <v>0</v>
      </c>
      <c r="S516" s="241">
        <v>0</v>
      </c>
      <c r="T516" s="241">
        <v>0</v>
      </c>
      <c r="U516" s="241">
        <v>0.15273243914813325</v>
      </c>
      <c r="V516" s="247"/>
    </row>
    <row r="517" spans="1:22">
      <c r="A517" s="242"/>
      <c r="B517" s="243" t="s">
        <v>813</v>
      </c>
      <c r="C517" s="244">
        <v>8.6040075265598176E-2</v>
      </c>
      <c r="D517" s="245">
        <v>3.405547019341898E-3</v>
      </c>
      <c r="E517" s="245">
        <v>8.3595737106097287E-2</v>
      </c>
      <c r="F517" s="245">
        <v>0</v>
      </c>
      <c r="G517" s="245">
        <v>0</v>
      </c>
      <c r="H517" s="245">
        <v>0.22615172759138708</v>
      </c>
      <c r="I517" s="245">
        <v>0</v>
      </c>
      <c r="J517" s="246">
        <v>8.1066200930893215E-2</v>
      </c>
      <c r="K517" s="246">
        <v>0</v>
      </c>
      <c r="L517" s="245">
        <v>0.27805139823473762</v>
      </c>
      <c r="M517" s="245">
        <v>0.25792240503958119</v>
      </c>
      <c r="N517" s="245">
        <v>0.32039154627597122</v>
      </c>
      <c r="O517" s="246">
        <v>0.27813178837525632</v>
      </c>
      <c r="P517" s="246">
        <v>0</v>
      </c>
      <c r="Q517" s="245">
        <v>0</v>
      </c>
      <c r="R517" s="246">
        <v>0</v>
      </c>
      <c r="S517" s="246">
        <v>0</v>
      </c>
      <c r="T517" s="246">
        <v>0</v>
      </c>
      <c r="U517" s="246">
        <v>0.15822348973689315</v>
      </c>
      <c r="V517" s="247"/>
    </row>
    <row r="518" spans="1:22">
      <c r="A518" s="242"/>
      <c r="B518" s="248" t="s">
        <v>814</v>
      </c>
      <c r="C518" s="249">
        <v>0.99839164580041295</v>
      </c>
      <c r="D518" s="250">
        <v>0.12806685559509784</v>
      </c>
      <c r="E518" s="250">
        <v>1.3315034129346925</v>
      </c>
      <c r="F518" s="250">
        <v>0</v>
      </c>
      <c r="G518" s="250">
        <v>0</v>
      </c>
      <c r="H518" s="250">
        <v>2.928632252225341</v>
      </c>
      <c r="I518" s="250">
        <v>0</v>
      </c>
      <c r="J518" s="253">
        <v>1.0486073030703702</v>
      </c>
      <c r="K518" s="253">
        <v>0</v>
      </c>
      <c r="L518" s="250">
        <v>0.2582491778003515</v>
      </c>
      <c r="M518" s="250">
        <v>0.53647084361270192</v>
      </c>
      <c r="N518" s="250">
        <v>1.2851988815213489</v>
      </c>
      <c r="O518" s="253">
        <v>0.45572235709326891</v>
      </c>
      <c r="P518" s="253">
        <v>0</v>
      </c>
      <c r="Q518" s="250">
        <v>0</v>
      </c>
      <c r="R518" s="253">
        <v>0</v>
      </c>
      <c r="S518" s="253">
        <v>0</v>
      </c>
      <c r="T518" s="253">
        <v>0</v>
      </c>
      <c r="U518" s="253">
        <v>0.54910505887598993</v>
      </c>
      <c r="V518" s="247"/>
    </row>
    <row r="519" spans="1:22">
      <c r="A519" s="242"/>
      <c r="B519" s="219" t="s">
        <v>815</v>
      </c>
      <c r="C519" s="239">
        <v>9.2574299342383787E-3</v>
      </c>
      <c r="D519" s="240">
        <v>2.9512200880429441E-4</v>
      </c>
      <c r="E519" s="240">
        <v>1.5349292428883351E-3</v>
      </c>
      <c r="F519" s="240">
        <v>0</v>
      </c>
      <c r="G519" s="240">
        <v>0</v>
      </c>
      <c r="H519" s="240">
        <v>0</v>
      </c>
      <c r="I519" s="240">
        <v>0</v>
      </c>
      <c r="J519" s="241">
        <v>6.4068378002401661E-3</v>
      </c>
      <c r="K519" s="241">
        <v>0</v>
      </c>
      <c r="L519" s="240">
        <v>1.1406610397646977E-3</v>
      </c>
      <c r="M519" s="240">
        <v>4.1904840283574545E-2</v>
      </c>
      <c r="N519" s="240">
        <v>7.654968746817703E-2</v>
      </c>
      <c r="O519" s="241">
        <v>2.1043289523910099E-2</v>
      </c>
      <c r="P519" s="241">
        <v>0</v>
      </c>
      <c r="Q519" s="240">
        <v>0</v>
      </c>
      <c r="R519" s="241">
        <v>0</v>
      </c>
      <c r="S519" s="241">
        <v>0</v>
      </c>
      <c r="T519" s="241">
        <v>0</v>
      </c>
      <c r="U519" s="241">
        <v>1.2330243169897106E-2</v>
      </c>
      <c r="V519" s="247"/>
    </row>
    <row r="520" spans="1:22">
      <c r="A520" s="242"/>
      <c r="B520" s="243" t="s">
        <v>816</v>
      </c>
      <c r="C520" s="244">
        <v>8.955920291208206E-3</v>
      </c>
      <c r="D520" s="245">
        <v>8.5809058755071451E-5</v>
      </c>
      <c r="E520" s="245">
        <v>1.2403480990380337E-3</v>
      </c>
      <c r="F520" s="245">
        <v>0</v>
      </c>
      <c r="G520" s="245">
        <v>0</v>
      </c>
      <c r="H520" s="245">
        <v>0</v>
      </c>
      <c r="I520" s="245">
        <v>0</v>
      </c>
      <c r="J520" s="246">
        <v>6.1533197196628701E-3</v>
      </c>
      <c r="K520" s="246">
        <v>0</v>
      </c>
      <c r="L520" s="245">
        <v>8.0547022017554118E-4</v>
      </c>
      <c r="M520" s="245">
        <v>4.4604039945976323E-2</v>
      </c>
      <c r="N520" s="245">
        <v>7.3196692021032211E-2</v>
      </c>
      <c r="O520" s="246">
        <v>2.1076636315650567E-2</v>
      </c>
      <c r="P520" s="246">
        <v>0</v>
      </c>
      <c r="Q520" s="245">
        <v>0</v>
      </c>
      <c r="R520" s="246">
        <v>0</v>
      </c>
      <c r="S520" s="246">
        <v>0</v>
      </c>
      <c r="T520" s="246">
        <v>0</v>
      </c>
      <c r="U520" s="246">
        <v>1.1996260963095733E-2</v>
      </c>
      <c r="V520" s="247"/>
    </row>
    <row r="521" spans="1:22">
      <c r="A521" s="242"/>
      <c r="B521" s="248" t="s">
        <v>817</v>
      </c>
      <c r="C521" s="249">
        <v>-3.0150964303017266E-2</v>
      </c>
      <c r="D521" s="250">
        <v>-2.0931295004922294E-2</v>
      </c>
      <c r="E521" s="250">
        <v>-2.945811438503014E-2</v>
      </c>
      <c r="F521" s="250">
        <v>0</v>
      </c>
      <c r="G521" s="250">
        <v>0</v>
      </c>
      <c r="H521" s="250">
        <v>0</v>
      </c>
      <c r="I521" s="250">
        <v>0</v>
      </c>
      <c r="J521" s="253">
        <v>-2.5351808057729602E-2</v>
      </c>
      <c r="K521" s="253">
        <v>0</v>
      </c>
      <c r="L521" s="250">
        <v>-3.3519081958915647E-2</v>
      </c>
      <c r="M521" s="250">
        <v>0.26991996624017789</v>
      </c>
      <c r="N521" s="250">
        <v>-0.33529954471448187</v>
      </c>
      <c r="O521" s="253">
        <v>3.3346791740468396E-3</v>
      </c>
      <c r="P521" s="253">
        <v>0</v>
      </c>
      <c r="Q521" s="250">
        <v>0</v>
      </c>
      <c r="R521" s="253">
        <v>0</v>
      </c>
      <c r="S521" s="253">
        <v>0</v>
      </c>
      <c r="T521" s="253">
        <v>0</v>
      </c>
      <c r="U521" s="253">
        <v>-3.3398220680137293E-2</v>
      </c>
      <c r="V521" s="247"/>
    </row>
    <row r="522" spans="1:22">
      <c r="A522" s="242"/>
      <c r="B522" s="219" t="s">
        <v>818</v>
      </c>
      <c r="C522" s="239">
        <v>8.7063468790377478E-5</v>
      </c>
      <c r="D522" s="240">
        <v>0</v>
      </c>
      <c r="E522" s="240">
        <v>0</v>
      </c>
      <c r="F522" s="240">
        <v>0</v>
      </c>
      <c r="G522" s="240">
        <v>0</v>
      </c>
      <c r="H522" s="240">
        <v>0</v>
      </c>
      <c r="I522" s="240">
        <v>0</v>
      </c>
      <c r="J522" s="241">
        <v>5.6158828687287377E-5</v>
      </c>
      <c r="K522" s="241">
        <v>0</v>
      </c>
      <c r="L522" s="240">
        <v>0</v>
      </c>
      <c r="M522" s="240">
        <v>0</v>
      </c>
      <c r="N522" s="240">
        <v>0</v>
      </c>
      <c r="O522" s="241">
        <v>0</v>
      </c>
      <c r="P522" s="241">
        <v>0</v>
      </c>
      <c r="Q522" s="240">
        <v>0</v>
      </c>
      <c r="R522" s="241">
        <v>0</v>
      </c>
      <c r="S522" s="241">
        <v>0</v>
      </c>
      <c r="T522" s="241">
        <v>0</v>
      </c>
      <c r="U522" s="241">
        <v>3.3431222729214811E-5</v>
      </c>
      <c r="V522" s="247"/>
    </row>
    <row r="523" spans="1:22">
      <c r="A523" s="242"/>
      <c r="B523" s="243" t="s">
        <v>819</v>
      </c>
      <c r="C523" s="244">
        <v>7.425249213859605E-5</v>
      </c>
      <c r="D523" s="245">
        <v>0</v>
      </c>
      <c r="E523" s="245">
        <v>0</v>
      </c>
      <c r="F523" s="245">
        <v>0</v>
      </c>
      <c r="G523" s="245">
        <v>0</v>
      </c>
      <c r="H523" s="245">
        <v>0</v>
      </c>
      <c r="I523" s="245">
        <v>0</v>
      </c>
      <c r="J523" s="246">
        <v>4.8171679620528003E-5</v>
      </c>
      <c r="K523" s="246">
        <v>0</v>
      </c>
      <c r="L523" s="245">
        <v>0</v>
      </c>
      <c r="M523" s="245">
        <v>0</v>
      </c>
      <c r="N523" s="245">
        <v>0</v>
      </c>
      <c r="O523" s="246">
        <v>0</v>
      </c>
      <c r="P523" s="246">
        <v>0</v>
      </c>
      <c r="Q523" s="245">
        <v>0</v>
      </c>
      <c r="R523" s="246">
        <v>0</v>
      </c>
      <c r="S523" s="246">
        <v>0</v>
      </c>
      <c r="T523" s="246">
        <v>0</v>
      </c>
      <c r="U523" s="246">
        <v>2.9310973167654631E-5</v>
      </c>
      <c r="V523" s="247"/>
    </row>
    <row r="524" spans="1:22">
      <c r="A524" s="242"/>
      <c r="B524" s="248" t="s">
        <v>820</v>
      </c>
      <c r="C524" s="249">
        <v>-1.2810976651781427E-3</v>
      </c>
      <c r="D524" s="250">
        <v>0</v>
      </c>
      <c r="E524" s="250">
        <v>0</v>
      </c>
      <c r="F524" s="250">
        <v>0</v>
      </c>
      <c r="G524" s="250">
        <v>0</v>
      </c>
      <c r="H524" s="250">
        <v>0</v>
      </c>
      <c r="I524" s="250">
        <v>0</v>
      </c>
      <c r="J524" s="253">
        <v>-7.987149066759373E-4</v>
      </c>
      <c r="K524" s="253">
        <v>0</v>
      </c>
      <c r="L524" s="250">
        <v>0</v>
      </c>
      <c r="M524" s="250">
        <v>0</v>
      </c>
      <c r="N524" s="250">
        <v>0</v>
      </c>
      <c r="O524" s="253">
        <v>0</v>
      </c>
      <c r="P524" s="253">
        <v>0</v>
      </c>
      <c r="Q524" s="250">
        <v>0</v>
      </c>
      <c r="R524" s="253">
        <v>0</v>
      </c>
      <c r="S524" s="253">
        <v>0</v>
      </c>
      <c r="T524" s="253">
        <v>0</v>
      </c>
      <c r="U524" s="253">
        <v>-4.1202495615601795E-4</v>
      </c>
      <c r="V524" s="247"/>
    </row>
    <row r="525" spans="1:22">
      <c r="A525" s="242"/>
      <c r="B525" s="219" t="s">
        <v>821</v>
      </c>
      <c r="C525" s="239">
        <v>0</v>
      </c>
      <c r="D525" s="240">
        <v>0</v>
      </c>
      <c r="E525" s="240">
        <v>0</v>
      </c>
      <c r="F525" s="240">
        <v>0</v>
      </c>
      <c r="G525" s="240">
        <v>0</v>
      </c>
      <c r="H525" s="240">
        <v>0</v>
      </c>
      <c r="I525" s="240">
        <v>0</v>
      </c>
      <c r="J525" s="241">
        <v>0</v>
      </c>
      <c r="K525" s="241">
        <v>0</v>
      </c>
      <c r="L525" s="240">
        <v>0</v>
      </c>
      <c r="M525" s="240">
        <v>0</v>
      </c>
      <c r="N525" s="240">
        <v>0</v>
      </c>
      <c r="O525" s="241">
        <v>0</v>
      </c>
      <c r="P525" s="241">
        <v>0</v>
      </c>
      <c r="Q525" s="240">
        <v>0</v>
      </c>
      <c r="R525" s="241">
        <v>0</v>
      </c>
      <c r="S525" s="241">
        <v>0</v>
      </c>
      <c r="T525" s="241">
        <v>0</v>
      </c>
      <c r="U525" s="241">
        <v>0</v>
      </c>
      <c r="V525" s="247"/>
    </row>
    <row r="526" spans="1:22">
      <c r="A526" s="242"/>
      <c r="B526" s="243" t="s">
        <v>822</v>
      </c>
      <c r="C526" s="244">
        <v>0</v>
      </c>
      <c r="D526" s="245">
        <v>0</v>
      </c>
      <c r="E526" s="245">
        <v>0</v>
      </c>
      <c r="F526" s="245">
        <v>0</v>
      </c>
      <c r="G526" s="245">
        <v>0</v>
      </c>
      <c r="H526" s="245">
        <v>0</v>
      </c>
      <c r="I526" s="245">
        <v>0</v>
      </c>
      <c r="J526" s="246">
        <v>0</v>
      </c>
      <c r="K526" s="246">
        <v>0</v>
      </c>
      <c r="L526" s="245">
        <v>0</v>
      </c>
      <c r="M526" s="245">
        <v>0</v>
      </c>
      <c r="N526" s="245">
        <v>0</v>
      </c>
      <c r="O526" s="246">
        <v>0</v>
      </c>
      <c r="P526" s="246">
        <v>0</v>
      </c>
      <c r="Q526" s="245">
        <v>0</v>
      </c>
      <c r="R526" s="246">
        <v>0</v>
      </c>
      <c r="S526" s="246">
        <v>0</v>
      </c>
      <c r="T526" s="246">
        <v>0</v>
      </c>
      <c r="U526" s="246">
        <v>0</v>
      </c>
      <c r="V526" s="247"/>
    </row>
    <row r="527" spans="1:22" ht="15.75" thickBot="1">
      <c r="A527" s="242"/>
      <c r="B527" s="257" t="s">
        <v>823</v>
      </c>
      <c r="C527" s="258">
        <v>0</v>
      </c>
      <c r="D527" s="259">
        <v>0</v>
      </c>
      <c r="E527" s="259">
        <v>0</v>
      </c>
      <c r="F527" s="259">
        <v>0</v>
      </c>
      <c r="G527" s="259">
        <v>0</v>
      </c>
      <c r="H527" s="259">
        <v>0</v>
      </c>
      <c r="I527" s="259">
        <v>0</v>
      </c>
      <c r="J527" s="260">
        <v>0</v>
      </c>
      <c r="K527" s="260">
        <v>0</v>
      </c>
      <c r="L527" s="259">
        <v>0</v>
      </c>
      <c r="M527" s="259">
        <v>0</v>
      </c>
      <c r="N527" s="259">
        <v>0</v>
      </c>
      <c r="O527" s="260">
        <v>0</v>
      </c>
      <c r="P527" s="260">
        <v>0</v>
      </c>
      <c r="Q527" s="259">
        <v>0</v>
      </c>
      <c r="R527" s="260">
        <v>0</v>
      </c>
      <c r="S527" s="260">
        <v>0</v>
      </c>
      <c r="T527" s="260">
        <v>0</v>
      </c>
      <c r="U527" s="260">
        <v>0</v>
      </c>
      <c r="V527" s="247"/>
    </row>
    <row r="528" spans="1:22" ht="15.75" thickTop="1">
      <c r="A528" s="242"/>
      <c r="B528" s="243" t="s">
        <v>824</v>
      </c>
      <c r="C528" s="244">
        <v>0.8030100593275652</v>
      </c>
      <c r="D528" s="245">
        <v>0.86807558772217708</v>
      </c>
      <c r="E528" s="245">
        <v>0.70991765044630006</v>
      </c>
      <c r="F528" s="245">
        <v>0</v>
      </c>
      <c r="G528" s="245">
        <v>0.98628048780487809</v>
      </c>
      <c r="H528" s="245">
        <v>0</v>
      </c>
      <c r="I528" s="245">
        <v>0</v>
      </c>
      <c r="J528" s="246">
        <v>0.79859763368501369</v>
      </c>
      <c r="K528" s="246">
        <v>0</v>
      </c>
      <c r="L528" s="245">
        <v>0</v>
      </c>
      <c r="M528" s="245">
        <v>0</v>
      </c>
      <c r="N528" s="245">
        <v>0</v>
      </c>
      <c r="O528" s="246">
        <v>0</v>
      </c>
      <c r="P528" s="246">
        <v>0</v>
      </c>
      <c r="Q528" s="245">
        <v>0</v>
      </c>
      <c r="R528" s="246">
        <v>0</v>
      </c>
      <c r="S528" s="246">
        <v>0</v>
      </c>
      <c r="T528" s="246">
        <v>0</v>
      </c>
      <c r="U528" s="246">
        <v>0.79859763368501369</v>
      </c>
      <c r="V528" s="247"/>
    </row>
    <row r="529" spans="1:22">
      <c r="A529" s="242"/>
      <c r="B529" s="243" t="s">
        <v>825</v>
      </c>
      <c r="C529" s="244">
        <v>0.78587937587432621</v>
      </c>
      <c r="D529" s="245">
        <v>0.8238400850263663</v>
      </c>
      <c r="E529" s="245">
        <v>0.6652767189278177</v>
      </c>
      <c r="F529" s="245">
        <v>0</v>
      </c>
      <c r="G529" s="245">
        <v>0.98329425556858152</v>
      </c>
      <c r="H529" s="245">
        <v>0</v>
      </c>
      <c r="I529" s="245">
        <v>0</v>
      </c>
      <c r="J529" s="246">
        <v>0.77669170969880497</v>
      </c>
      <c r="K529" s="246">
        <v>0</v>
      </c>
      <c r="L529" s="245">
        <v>0</v>
      </c>
      <c r="M529" s="245">
        <v>0</v>
      </c>
      <c r="N529" s="245">
        <v>0</v>
      </c>
      <c r="O529" s="246">
        <v>0</v>
      </c>
      <c r="P529" s="246">
        <v>0</v>
      </c>
      <c r="Q529" s="245">
        <v>0</v>
      </c>
      <c r="R529" s="246">
        <v>0</v>
      </c>
      <c r="S529" s="246">
        <v>0</v>
      </c>
      <c r="T529" s="246">
        <v>0</v>
      </c>
      <c r="U529" s="246">
        <v>0.77669170969880497</v>
      </c>
      <c r="V529" s="247"/>
    </row>
    <row r="530" spans="1:22">
      <c r="A530" s="242"/>
      <c r="B530" s="248" t="s">
        <v>826</v>
      </c>
      <c r="C530" s="249">
        <v>-1.7130683453238982</v>
      </c>
      <c r="D530" s="250">
        <v>-4.423550269581078</v>
      </c>
      <c r="E530" s="250">
        <v>-4.4640931518482363</v>
      </c>
      <c r="F530" s="250">
        <v>0</v>
      </c>
      <c r="G530" s="250">
        <v>-0.2986232236296571</v>
      </c>
      <c r="H530" s="250">
        <v>0</v>
      </c>
      <c r="I530" s="250">
        <v>0</v>
      </c>
      <c r="J530" s="253">
        <v>-2.190592398620872</v>
      </c>
      <c r="K530" s="253">
        <v>0</v>
      </c>
      <c r="L530" s="250">
        <v>0</v>
      </c>
      <c r="M530" s="250">
        <v>0</v>
      </c>
      <c r="N530" s="250">
        <v>0</v>
      </c>
      <c r="O530" s="253">
        <v>0</v>
      </c>
      <c r="P530" s="253">
        <v>0</v>
      </c>
      <c r="Q530" s="250">
        <v>0</v>
      </c>
      <c r="R530" s="253">
        <v>0</v>
      </c>
      <c r="S530" s="253">
        <v>0</v>
      </c>
      <c r="T530" s="253">
        <v>0</v>
      </c>
      <c r="U530" s="253">
        <v>-2.190592398620872</v>
      </c>
      <c r="V530" s="247"/>
    </row>
    <row r="531" spans="1:22">
      <c r="A531" s="242"/>
      <c r="B531" s="219" t="s">
        <v>827</v>
      </c>
      <c r="C531" s="239">
        <v>7.2042776605567446E-2</v>
      </c>
      <c r="D531" s="240">
        <v>9.0330437185842855E-2</v>
      </c>
      <c r="E531" s="240">
        <v>9.5801900374316157E-2</v>
      </c>
      <c r="F531" s="240">
        <v>0</v>
      </c>
      <c r="G531" s="240">
        <v>1.3719512195121951E-2</v>
      </c>
      <c r="H531" s="240">
        <v>0</v>
      </c>
      <c r="I531" s="240">
        <v>0</v>
      </c>
      <c r="J531" s="241">
        <v>7.5523407831866174E-2</v>
      </c>
      <c r="K531" s="241">
        <v>0</v>
      </c>
      <c r="L531" s="240">
        <v>0</v>
      </c>
      <c r="M531" s="240">
        <v>0</v>
      </c>
      <c r="N531" s="240">
        <v>0</v>
      </c>
      <c r="O531" s="241">
        <v>0</v>
      </c>
      <c r="P531" s="241">
        <v>0</v>
      </c>
      <c r="Q531" s="240">
        <v>0</v>
      </c>
      <c r="R531" s="241">
        <v>0</v>
      </c>
      <c r="S531" s="241">
        <v>0</v>
      </c>
      <c r="T531" s="241">
        <v>0</v>
      </c>
      <c r="U531" s="241">
        <v>7.5523407831866174E-2</v>
      </c>
      <c r="V531" s="247"/>
    </row>
    <row r="532" spans="1:22">
      <c r="A532" s="242"/>
      <c r="B532" s="243" t="s">
        <v>828</v>
      </c>
      <c r="C532" s="244">
        <v>7.4570033084714687E-2</v>
      </c>
      <c r="D532" s="245">
        <v>8.2124024036299717E-2</v>
      </c>
      <c r="E532" s="245">
        <v>0.10752759455069774</v>
      </c>
      <c r="F532" s="245">
        <v>0</v>
      </c>
      <c r="G532" s="245">
        <v>1.6705744431418524E-2</v>
      </c>
      <c r="H532" s="245">
        <v>0</v>
      </c>
      <c r="I532" s="245">
        <v>0</v>
      </c>
      <c r="J532" s="246">
        <v>7.8337148852821101E-2</v>
      </c>
      <c r="K532" s="246">
        <v>0</v>
      </c>
      <c r="L532" s="245">
        <v>0</v>
      </c>
      <c r="M532" s="245">
        <v>0</v>
      </c>
      <c r="N532" s="245">
        <v>0</v>
      </c>
      <c r="O532" s="246">
        <v>0</v>
      </c>
      <c r="P532" s="246">
        <v>0</v>
      </c>
      <c r="Q532" s="245">
        <v>0</v>
      </c>
      <c r="R532" s="246">
        <v>0</v>
      </c>
      <c r="S532" s="246">
        <v>0</v>
      </c>
      <c r="T532" s="246">
        <v>0</v>
      </c>
      <c r="U532" s="246">
        <v>7.8337148852821101E-2</v>
      </c>
      <c r="V532" s="247"/>
    </row>
    <row r="533" spans="1:22">
      <c r="A533" s="242"/>
      <c r="B533" s="248" t="s">
        <v>829</v>
      </c>
      <c r="C533" s="249">
        <v>0.25272564791472413</v>
      </c>
      <c r="D533" s="250">
        <v>-0.82064131495431369</v>
      </c>
      <c r="E533" s="250">
        <v>1.1725694176381585</v>
      </c>
      <c r="F533" s="250">
        <v>0</v>
      </c>
      <c r="G533" s="250">
        <v>0.29862322362965726</v>
      </c>
      <c r="H533" s="250">
        <v>0</v>
      </c>
      <c r="I533" s="250">
        <v>0</v>
      </c>
      <c r="J533" s="253">
        <v>0.28137410209549268</v>
      </c>
      <c r="K533" s="253">
        <v>0</v>
      </c>
      <c r="L533" s="250">
        <v>0</v>
      </c>
      <c r="M533" s="250">
        <v>0</v>
      </c>
      <c r="N533" s="250">
        <v>0</v>
      </c>
      <c r="O533" s="253">
        <v>0</v>
      </c>
      <c r="P533" s="253">
        <v>0</v>
      </c>
      <c r="Q533" s="250">
        <v>0</v>
      </c>
      <c r="R533" s="253">
        <v>0</v>
      </c>
      <c r="S533" s="253">
        <v>0</v>
      </c>
      <c r="T533" s="253">
        <v>0</v>
      </c>
      <c r="U533" s="253">
        <v>0.28137410209549268</v>
      </c>
      <c r="V533" s="247"/>
    </row>
    <row r="534" spans="1:22">
      <c r="A534" s="242"/>
      <c r="B534" s="219" t="s">
        <v>830</v>
      </c>
      <c r="C534" s="239">
        <v>8.7991914607044044E-2</v>
      </c>
      <c r="D534" s="240">
        <v>4.1593975091980033E-2</v>
      </c>
      <c r="E534" s="240">
        <v>0.17298473941837028</v>
      </c>
      <c r="F534" s="240">
        <v>0</v>
      </c>
      <c r="G534" s="240">
        <v>0</v>
      </c>
      <c r="H534" s="240">
        <v>0</v>
      </c>
      <c r="I534" s="240">
        <v>0</v>
      </c>
      <c r="J534" s="241">
        <v>9.3223911447950572E-2</v>
      </c>
      <c r="K534" s="241">
        <v>0</v>
      </c>
      <c r="L534" s="240">
        <v>0</v>
      </c>
      <c r="M534" s="240">
        <v>0</v>
      </c>
      <c r="N534" s="240">
        <v>0</v>
      </c>
      <c r="O534" s="241">
        <v>0</v>
      </c>
      <c r="P534" s="241">
        <v>0</v>
      </c>
      <c r="Q534" s="240">
        <v>0</v>
      </c>
      <c r="R534" s="241">
        <v>0</v>
      </c>
      <c r="S534" s="241">
        <v>0</v>
      </c>
      <c r="T534" s="241">
        <v>0</v>
      </c>
      <c r="U534" s="241">
        <v>9.3223911447950572E-2</v>
      </c>
      <c r="V534" s="247"/>
    </row>
    <row r="535" spans="1:22">
      <c r="A535" s="242"/>
      <c r="B535" s="243" t="s">
        <v>831</v>
      </c>
      <c r="C535" s="244">
        <v>0.10286177831402331</v>
      </c>
      <c r="D535" s="254">
        <v>9.2073744021583623E-2</v>
      </c>
      <c r="E535" s="245">
        <v>0.20565039168241131</v>
      </c>
      <c r="F535" s="245">
        <v>0</v>
      </c>
      <c r="G535" s="245">
        <v>0</v>
      </c>
      <c r="H535" s="245">
        <v>0</v>
      </c>
      <c r="I535" s="245">
        <v>0</v>
      </c>
      <c r="J535" s="246">
        <v>0.11248112782386627</v>
      </c>
      <c r="K535" s="246">
        <v>0</v>
      </c>
      <c r="L535" s="245">
        <v>0</v>
      </c>
      <c r="M535" s="245">
        <v>0</v>
      </c>
      <c r="N535" s="245">
        <v>0</v>
      </c>
      <c r="O535" s="246">
        <v>0</v>
      </c>
      <c r="P535" s="246">
        <v>0</v>
      </c>
      <c r="Q535" s="245">
        <v>0</v>
      </c>
      <c r="R535" s="246">
        <v>0</v>
      </c>
      <c r="S535" s="246">
        <v>0</v>
      </c>
      <c r="T535" s="246">
        <v>0</v>
      </c>
      <c r="U535" s="246">
        <v>0.11248112782386627</v>
      </c>
      <c r="V535" s="247"/>
    </row>
    <row r="536" spans="1:22">
      <c r="A536" s="242"/>
      <c r="B536" s="248" t="s">
        <v>832</v>
      </c>
      <c r="C536" s="249">
        <v>1.4869863706979265</v>
      </c>
      <c r="D536" s="250">
        <v>5.0479768929603592</v>
      </c>
      <c r="E536" s="250">
        <v>3.266565226404103</v>
      </c>
      <c r="F536" s="250">
        <v>0</v>
      </c>
      <c r="G536" s="250">
        <v>0</v>
      </c>
      <c r="H536" s="250">
        <v>0</v>
      </c>
      <c r="I536" s="250">
        <v>0</v>
      </c>
      <c r="J536" s="253">
        <v>1.9257216375915696</v>
      </c>
      <c r="K536" s="253">
        <v>0</v>
      </c>
      <c r="L536" s="250">
        <v>0</v>
      </c>
      <c r="M536" s="250">
        <v>0</v>
      </c>
      <c r="N536" s="250">
        <v>0</v>
      </c>
      <c r="O536" s="253">
        <v>0</v>
      </c>
      <c r="P536" s="253">
        <v>0</v>
      </c>
      <c r="Q536" s="250">
        <v>0</v>
      </c>
      <c r="R536" s="253">
        <v>0</v>
      </c>
      <c r="S536" s="253">
        <v>0</v>
      </c>
      <c r="T536" s="253">
        <v>0</v>
      </c>
      <c r="U536" s="253">
        <v>1.9257216375915696</v>
      </c>
      <c r="V536" s="247"/>
    </row>
    <row r="537" spans="1:22">
      <c r="A537" s="242"/>
      <c r="B537" s="219" t="s">
        <v>833</v>
      </c>
      <c r="C537" s="239">
        <v>3.3510915871359473E-2</v>
      </c>
      <c r="D537" s="240">
        <v>0</v>
      </c>
      <c r="E537" s="240">
        <v>2.1295709761013533E-2</v>
      </c>
      <c r="F537" s="240">
        <v>0</v>
      </c>
      <c r="G537" s="240">
        <v>0</v>
      </c>
      <c r="H537" s="240">
        <v>0</v>
      </c>
      <c r="I537" s="240">
        <v>0</v>
      </c>
      <c r="J537" s="241">
        <v>2.9816200737553648E-2</v>
      </c>
      <c r="K537" s="241">
        <v>0</v>
      </c>
      <c r="L537" s="240">
        <v>0</v>
      </c>
      <c r="M537" s="240">
        <v>0</v>
      </c>
      <c r="N537" s="240">
        <v>0</v>
      </c>
      <c r="O537" s="241">
        <v>0</v>
      </c>
      <c r="P537" s="241">
        <v>0</v>
      </c>
      <c r="Q537" s="240">
        <v>0</v>
      </c>
      <c r="R537" s="241">
        <v>0</v>
      </c>
      <c r="S537" s="241">
        <v>0</v>
      </c>
      <c r="T537" s="241">
        <v>0</v>
      </c>
      <c r="U537" s="241">
        <v>2.9816200737553648E-2</v>
      </c>
      <c r="V537" s="247"/>
    </row>
    <row r="538" spans="1:22">
      <c r="A538" s="242"/>
      <c r="B538" s="243" t="s">
        <v>834</v>
      </c>
      <c r="C538" s="244">
        <v>3.3445407391795724E-2</v>
      </c>
      <c r="D538" s="245">
        <v>1.9621469157503168E-3</v>
      </c>
      <c r="E538" s="245">
        <v>2.154529483907322E-2</v>
      </c>
      <c r="F538" s="245">
        <v>0</v>
      </c>
      <c r="G538" s="245">
        <v>0</v>
      </c>
      <c r="H538" s="245">
        <v>0</v>
      </c>
      <c r="I538" s="245">
        <v>0</v>
      </c>
      <c r="J538" s="246">
        <v>2.9830073563061055E-2</v>
      </c>
      <c r="K538" s="246">
        <v>0</v>
      </c>
      <c r="L538" s="245">
        <v>0</v>
      </c>
      <c r="M538" s="245">
        <v>0</v>
      </c>
      <c r="N538" s="245">
        <v>0</v>
      </c>
      <c r="O538" s="246">
        <v>0</v>
      </c>
      <c r="P538" s="246">
        <v>0</v>
      </c>
      <c r="Q538" s="245">
        <v>0</v>
      </c>
      <c r="R538" s="246">
        <v>0</v>
      </c>
      <c r="S538" s="246">
        <v>0</v>
      </c>
      <c r="T538" s="246">
        <v>0</v>
      </c>
      <c r="U538" s="246">
        <v>2.9830073563061055E-2</v>
      </c>
      <c r="V538" s="247"/>
    </row>
    <row r="539" spans="1:22">
      <c r="A539" s="242"/>
      <c r="B539" s="248" t="s">
        <v>835</v>
      </c>
      <c r="C539" s="249">
        <v>-6.5508479563748667E-3</v>
      </c>
      <c r="D539" s="250">
        <v>0</v>
      </c>
      <c r="E539" s="250">
        <v>2.4958507805968727E-2</v>
      </c>
      <c r="F539" s="250">
        <v>0</v>
      </c>
      <c r="G539" s="250">
        <v>0</v>
      </c>
      <c r="H539" s="250">
        <v>0</v>
      </c>
      <c r="I539" s="250">
        <v>0</v>
      </c>
      <c r="J539" s="253">
        <v>1.3872825507407066E-3</v>
      </c>
      <c r="K539" s="253">
        <v>0</v>
      </c>
      <c r="L539" s="250">
        <v>0</v>
      </c>
      <c r="M539" s="250">
        <v>0</v>
      </c>
      <c r="N539" s="250">
        <v>0</v>
      </c>
      <c r="O539" s="253">
        <v>0</v>
      </c>
      <c r="P539" s="253">
        <v>0</v>
      </c>
      <c r="Q539" s="250">
        <v>0</v>
      </c>
      <c r="R539" s="253">
        <v>0</v>
      </c>
      <c r="S539" s="253">
        <v>0</v>
      </c>
      <c r="T539" s="253">
        <v>0</v>
      </c>
      <c r="U539" s="253">
        <v>1.3872825507407066E-3</v>
      </c>
      <c r="V539" s="247"/>
    </row>
    <row r="540" spans="1:22">
      <c r="A540" s="242"/>
      <c r="B540" s="219" t="s">
        <v>836</v>
      </c>
      <c r="C540" s="239">
        <v>3.4443335884638171E-3</v>
      </c>
      <c r="D540" s="240">
        <v>0</v>
      </c>
      <c r="E540" s="240">
        <v>0</v>
      </c>
      <c r="F540" s="240">
        <v>0</v>
      </c>
      <c r="G540" s="240">
        <v>0</v>
      </c>
      <c r="H540" s="240">
        <v>0</v>
      </c>
      <c r="I540" s="240">
        <v>0</v>
      </c>
      <c r="J540" s="241">
        <v>2.8388462976158559E-3</v>
      </c>
      <c r="K540" s="241">
        <v>0</v>
      </c>
      <c r="L540" s="240">
        <v>0</v>
      </c>
      <c r="M540" s="240">
        <v>0</v>
      </c>
      <c r="N540" s="240">
        <v>0</v>
      </c>
      <c r="O540" s="241">
        <v>0</v>
      </c>
      <c r="P540" s="241">
        <v>0</v>
      </c>
      <c r="Q540" s="240">
        <v>0</v>
      </c>
      <c r="R540" s="241">
        <v>0</v>
      </c>
      <c r="S540" s="241">
        <v>0</v>
      </c>
      <c r="T540" s="241">
        <v>0</v>
      </c>
      <c r="U540" s="241">
        <v>2.8388462976158559E-3</v>
      </c>
      <c r="V540" s="247"/>
    </row>
    <row r="541" spans="1:22">
      <c r="A541" s="242"/>
      <c r="B541" s="243" t="s">
        <v>837</v>
      </c>
      <c r="C541" s="256">
        <v>3.2434053351400971E-3</v>
      </c>
      <c r="D541" s="245">
        <v>0</v>
      </c>
      <c r="E541" s="245">
        <v>0</v>
      </c>
      <c r="F541" s="245">
        <v>0</v>
      </c>
      <c r="G541" s="245">
        <v>0</v>
      </c>
      <c r="H541" s="245">
        <v>0</v>
      </c>
      <c r="I541" s="245">
        <v>0</v>
      </c>
      <c r="J541" s="246">
        <v>2.6599400614465874E-3</v>
      </c>
      <c r="K541" s="246">
        <v>0</v>
      </c>
      <c r="L541" s="245">
        <v>0</v>
      </c>
      <c r="M541" s="245">
        <v>0</v>
      </c>
      <c r="N541" s="245">
        <v>0</v>
      </c>
      <c r="O541" s="246">
        <v>0</v>
      </c>
      <c r="P541" s="246">
        <v>0</v>
      </c>
      <c r="Q541" s="245">
        <v>0</v>
      </c>
      <c r="R541" s="246">
        <v>0</v>
      </c>
      <c r="S541" s="246">
        <v>0</v>
      </c>
      <c r="T541" s="246">
        <v>0</v>
      </c>
      <c r="U541" s="246">
        <v>2.6599400614465874E-3</v>
      </c>
      <c r="V541" s="247"/>
    </row>
    <row r="542" spans="1:22">
      <c r="A542" s="242"/>
      <c r="B542" s="248" t="s">
        <v>838</v>
      </c>
      <c r="C542" s="249">
        <v>-2.0092825332372003E-2</v>
      </c>
      <c r="D542" s="250">
        <v>0</v>
      </c>
      <c r="E542" s="250">
        <v>0</v>
      </c>
      <c r="F542" s="250">
        <v>0</v>
      </c>
      <c r="G542" s="250">
        <v>0</v>
      </c>
      <c r="H542" s="250">
        <v>0</v>
      </c>
      <c r="I542" s="250">
        <v>0</v>
      </c>
      <c r="J542" s="253">
        <v>-1.7890623616926855E-2</v>
      </c>
      <c r="K542" s="253">
        <v>0</v>
      </c>
      <c r="L542" s="250">
        <v>0</v>
      </c>
      <c r="M542" s="250">
        <v>0</v>
      </c>
      <c r="N542" s="250">
        <v>0</v>
      </c>
      <c r="O542" s="253">
        <v>0</v>
      </c>
      <c r="P542" s="253">
        <v>0</v>
      </c>
      <c r="Q542" s="250">
        <v>0</v>
      </c>
      <c r="R542" s="253">
        <v>0</v>
      </c>
      <c r="S542" s="253">
        <v>0</v>
      </c>
      <c r="T542" s="253">
        <v>0</v>
      </c>
      <c r="U542" s="253">
        <v>-1.7890623616926855E-2</v>
      </c>
      <c r="V542" s="247"/>
    </row>
    <row r="543" spans="1:22">
      <c r="A543" s="242"/>
      <c r="B543" s="219" t="s">
        <v>839</v>
      </c>
      <c r="C543" s="239">
        <v>0</v>
      </c>
      <c r="D543" s="240">
        <v>0</v>
      </c>
      <c r="E543" s="240">
        <v>0</v>
      </c>
      <c r="F543" s="240">
        <v>0</v>
      </c>
      <c r="G543" s="240">
        <v>0</v>
      </c>
      <c r="H543" s="240">
        <v>0</v>
      </c>
      <c r="I543" s="240">
        <v>0</v>
      </c>
      <c r="J543" s="241">
        <v>0</v>
      </c>
      <c r="K543" s="241">
        <v>0</v>
      </c>
      <c r="L543" s="240">
        <v>0</v>
      </c>
      <c r="M543" s="240">
        <v>0</v>
      </c>
      <c r="N543" s="240">
        <v>0</v>
      </c>
      <c r="O543" s="241">
        <v>0</v>
      </c>
      <c r="P543" s="241">
        <v>0</v>
      </c>
      <c r="Q543" s="240">
        <v>0</v>
      </c>
      <c r="R543" s="241">
        <v>0</v>
      </c>
      <c r="S543" s="241">
        <v>0</v>
      </c>
      <c r="T543" s="241">
        <v>0</v>
      </c>
      <c r="U543" s="241">
        <v>0</v>
      </c>
      <c r="V543" s="247"/>
    </row>
    <row r="544" spans="1:22">
      <c r="A544" s="242"/>
      <c r="B544" s="243" t="s">
        <v>840</v>
      </c>
      <c r="C544" s="244">
        <v>0</v>
      </c>
      <c r="D544" s="245">
        <v>0</v>
      </c>
      <c r="E544" s="245">
        <v>0</v>
      </c>
      <c r="F544" s="245">
        <v>0</v>
      </c>
      <c r="G544" s="245">
        <v>0</v>
      </c>
      <c r="H544" s="245">
        <v>0</v>
      </c>
      <c r="I544" s="245">
        <v>0</v>
      </c>
      <c r="J544" s="246">
        <v>0</v>
      </c>
      <c r="K544" s="246">
        <v>0</v>
      </c>
      <c r="L544" s="245">
        <v>0</v>
      </c>
      <c r="M544" s="245">
        <v>0</v>
      </c>
      <c r="N544" s="245">
        <v>0</v>
      </c>
      <c r="O544" s="246">
        <v>0</v>
      </c>
      <c r="P544" s="246">
        <v>0</v>
      </c>
      <c r="Q544" s="245">
        <v>0</v>
      </c>
      <c r="R544" s="246">
        <v>0</v>
      </c>
      <c r="S544" s="246">
        <v>0</v>
      </c>
      <c r="T544" s="246">
        <v>0</v>
      </c>
      <c r="U544" s="246">
        <v>0</v>
      </c>
      <c r="V544" s="247"/>
    </row>
    <row r="545" spans="1:22" ht="15.75" thickBot="1">
      <c r="A545" s="261"/>
      <c r="B545" s="262" t="s">
        <v>841</v>
      </c>
      <c r="C545" s="263">
        <v>0</v>
      </c>
      <c r="D545" s="264">
        <v>0</v>
      </c>
      <c r="E545" s="264">
        <v>0</v>
      </c>
      <c r="F545" s="264">
        <v>0</v>
      </c>
      <c r="G545" s="264">
        <v>0</v>
      </c>
      <c r="H545" s="264">
        <v>0</v>
      </c>
      <c r="I545" s="264">
        <v>0</v>
      </c>
      <c r="J545" s="265">
        <v>0</v>
      </c>
      <c r="K545" s="265">
        <v>0</v>
      </c>
      <c r="L545" s="264">
        <v>0</v>
      </c>
      <c r="M545" s="264">
        <v>0</v>
      </c>
      <c r="N545" s="264">
        <v>0</v>
      </c>
      <c r="O545" s="265">
        <v>0</v>
      </c>
      <c r="P545" s="265">
        <v>0</v>
      </c>
      <c r="Q545" s="264">
        <v>0</v>
      </c>
      <c r="R545" s="265">
        <v>0</v>
      </c>
      <c r="S545" s="265">
        <v>0</v>
      </c>
      <c r="T545" s="265">
        <v>0</v>
      </c>
      <c r="U545" s="265">
        <v>0</v>
      </c>
      <c r="V545" s="247"/>
    </row>
    <row r="546" spans="1:22">
      <c r="A546" s="238" t="s">
        <v>733</v>
      </c>
      <c r="B546" s="219" t="s">
        <v>806</v>
      </c>
      <c r="C546" s="239">
        <v>0.89263676360718336</v>
      </c>
      <c r="D546" s="240">
        <v>0</v>
      </c>
      <c r="E546" s="240">
        <v>0.77082781732493133</v>
      </c>
      <c r="F546" s="240">
        <v>0</v>
      </c>
      <c r="G546" s="240">
        <v>0.81163576317547548</v>
      </c>
      <c r="H546" s="240">
        <v>0.67668255259793098</v>
      </c>
      <c r="I546" s="240">
        <v>0</v>
      </c>
      <c r="J546" s="241">
        <v>0.82493968422162023</v>
      </c>
      <c r="K546" s="241">
        <v>0.67876796004194728</v>
      </c>
      <c r="L546" s="240">
        <v>0</v>
      </c>
      <c r="M546" s="240">
        <v>0</v>
      </c>
      <c r="N546" s="240">
        <v>0.5986936495963795</v>
      </c>
      <c r="O546" s="241">
        <v>0.61702454139566199</v>
      </c>
      <c r="P546" s="241">
        <v>0</v>
      </c>
      <c r="Q546" s="240">
        <v>0</v>
      </c>
      <c r="R546" s="241">
        <v>0</v>
      </c>
      <c r="S546" s="241">
        <v>0</v>
      </c>
      <c r="T546" s="241">
        <v>0</v>
      </c>
      <c r="U546" s="241">
        <v>0.7784832176463562</v>
      </c>
      <c r="V546" s="247"/>
    </row>
    <row r="547" spans="1:22">
      <c r="A547" s="242"/>
      <c r="B547" s="243" t="s">
        <v>807</v>
      </c>
      <c r="C547" s="244">
        <v>0.88207429339438881</v>
      </c>
      <c r="D547" s="245">
        <v>0</v>
      </c>
      <c r="E547" s="245">
        <v>0.74461254725500103</v>
      </c>
      <c r="F547" s="245">
        <v>0</v>
      </c>
      <c r="G547" s="245">
        <v>0.82498899611743604</v>
      </c>
      <c r="H547" s="245">
        <v>0.63630152070427859</v>
      </c>
      <c r="I547" s="245">
        <v>0</v>
      </c>
      <c r="J547" s="246">
        <v>0.81268328130509193</v>
      </c>
      <c r="K547" s="246">
        <v>0.68210648757791237</v>
      </c>
      <c r="L547" s="245">
        <v>0</v>
      </c>
      <c r="M547" s="245">
        <v>0</v>
      </c>
      <c r="N547" s="245">
        <v>0.59374050025446512</v>
      </c>
      <c r="O547" s="246">
        <v>0.61471637071208829</v>
      </c>
      <c r="P547" s="246">
        <v>0</v>
      </c>
      <c r="Q547" s="245">
        <v>0</v>
      </c>
      <c r="R547" s="246">
        <v>0</v>
      </c>
      <c r="S547" s="246">
        <v>0</v>
      </c>
      <c r="T547" s="246">
        <v>0</v>
      </c>
      <c r="U547" s="246">
        <v>0.76997012861835723</v>
      </c>
      <c r="V547" s="247"/>
    </row>
    <row r="548" spans="1:22">
      <c r="A548" s="242"/>
      <c r="B548" s="248" t="s">
        <v>808</v>
      </c>
      <c r="C548" s="249">
        <v>-1.056247021279455</v>
      </c>
      <c r="D548" s="250">
        <v>0</v>
      </c>
      <c r="E548" s="250">
        <v>-2.6215270069930297</v>
      </c>
      <c r="F548" s="250">
        <v>0</v>
      </c>
      <c r="G548" s="250">
        <v>1.3353232941960558</v>
      </c>
      <c r="H548" s="252">
        <v>-4.0381031893652386</v>
      </c>
      <c r="I548" s="250">
        <v>0</v>
      </c>
      <c r="J548" s="253">
        <v>-1.2256402916528297</v>
      </c>
      <c r="K548" s="253">
        <v>0.33385275359650857</v>
      </c>
      <c r="L548" s="250">
        <v>0</v>
      </c>
      <c r="M548" s="250">
        <v>0</v>
      </c>
      <c r="N548" s="250">
        <v>-0.49531493419143757</v>
      </c>
      <c r="O548" s="253">
        <v>-0.23081706835736959</v>
      </c>
      <c r="P548" s="253">
        <v>0</v>
      </c>
      <c r="Q548" s="250">
        <v>0</v>
      </c>
      <c r="R548" s="253">
        <v>0</v>
      </c>
      <c r="S548" s="253">
        <v>0</v>
      </c>
      <c r="T548" s="253">
        <v>0</v>
      </c>
      <c r="U548" s="253">
        <v>-0.85130890279989657</v>
      </c>
      <c r="V548" s="247"/>
    </row>
    <row r="549" spans="1:22">
      <c r="A549" s="242"/>
      <c r="B549" s="219" t="s">
        <v>809</v>
      </c>
      <c r="C549" s="239">
        <v>1.680240798644739E-3</v>
      </c>
      <c r="D549" s="240">
        <v>0</v>
      </c>
      <c r="E549" s="240">
        <v>8.3443653501373019E-2</v>
      </c>
      <c r="F549" s="240">
        <v>0</v>
      </c>
      <c r="G549" s="240">
        <v>5.0004411783242789E-2</v>
      </c>
      <c r="H549" s="240">
        <v>8.1087992560734623E-2</v>
      </c>
      <c r="I549" s="240">
        <v>0</v>
      </c>
      <c r="J549" s="241">
        <v>3.7723353528793482E-2</v>
      </c>
      <c r="K549" s="241">
        <v>9.4003048747526949E-2</v>
      </c>
      <c r="L549" s="240">
        <v>0</v>
      </c>
      <c r="M549" s="240">
        <v>0</v>
      </c>
      <c r="N549" s="240">
        <v>0.13334403235383802</v>
      </c>
      <c r="O549" s="241">
        <v>0.12433795650064842</v>
      </c>
      <c r="P549" s="241">
        <v>0</v>
      </c>
      <c r="Q549" s="240">
        <v>0</v>
      </c>
      <c r="R549" s="241">
        <v>0</v>
      </c>
      <c r="S549" s="241">
        <v>0</v>
      </c>
      <c r="T549" s="241">
        <v>0</v>
      </c>
      <c r="U549" s="241">
        <v>5.7076481700222524E-2</v>
      </c>
      <c r="V549" s="247"/>
    </row>
    <row r="550" spans="1:22">
      <c r="A550" s="242"/>
      <c r="B550" s="243" t="s">
        <v>810</v>
      </c>
      <c r="C550" s="244">
        <v>2.5393818742998312E-3</v>
      </c>
      <c r="D550" s="245">
        <v>0</v>
      </c>
      <c r="E550" s="245">
        <v>8.7982307115416991E-2</v>
      </c>
      <c r="F550" s="245">
        <v>0</v>
      </c>
      <c r="G550" s="245">
        <v>4.2813315026376468E-2</v>
      </c>
      <c r="H550" s="245">
        <v>0.10769161269192327</v>
      </c>
      <c r="I550" s="245">
        <v>0</v>
      </c>
      <c r="J550" s="246">
        <v>4.0673758560293996E-2</v>
      </c>
      <c r="K550" s="246">
        <v>6.5128171363357037E-2</v>
      </c>
      <c r="L550" s="245">
        <v>0</v>
      </c>
      <c r="M550" s="245">
        <v>0</v>
      </c>
      <c r="N550" s="245">
        <v>0.12800106567931932</v>
      </c>
      <c r="O550" s="246">
        <v>0.11307661650590389</v>
      </c>
      <c r="P550" s="246">
        <v>0</v>
      </c>
      <c r="Q550" s="245">
        <v>0</v>
      </c>
      <c r="R550" s="246">
        <v>0</v>
      </c>
      <c r="S550" s="246">
        <v>0</v>
      </c>
      <c r="T550" s="246">
        <v>0</v>
      </c>
      <c r="U550" s="246">
        <v>5.6295330453915736E-2</v>
      </c>
      <c r="V550" s="247"/>
    </row>
    <row r="551" spans="1:22">
      <c r="A551" s="242"/>
      <c r="B551" s="248" t="s">
        <v>811</v>
      </c>
      <c r="C551" s="249">
        <v>8.5914107565509212E-2</v>
      </c>
      <c r="D551" s="250">
        <v>0</v>
      </c>
      <c r="E551" s="250">
        <v>0.45386536140439721</v>
      </c>
      <c r="F551" s="250">
        <v>0</v>
      </c>
      <c r="G551" s="250">
        <v>-0.71910967568663209</v>
      </c>
      <c r="H551" s="250">
        <v>2.6603620131188652</v>
      </c>
      <c r="I551" s="250">
        <v>0</v>
      </c>
      <c r="J551" s="253">
        <v>0.29504050315005137</v>
      </c>
      <c r="K551" s="253">
        <v>-2.8874877384169912</v>
      </c>
      <c r="L551" s="250">
        <v>0</v>
      </c>
      <c r="M551" s="250">
        <v>0</v>
      </c>
      <c r="N551" s="250">
        <v>-0.53429666745186954</v>
      </c>
      <c r="O551" s="253">
        <v>-1.1261339994744533</v>
      </c>
      <c r="P551" s="253">
        <v>0</v>
      </c>
      <c r="Q551" s="250">
        <v>0</v>
      </c>
      <c r="R551" s="253">
        <v>0</v>
      </c>
      <c r="S551" s="253">
        <v>0</v>
      </c>
      <c r="T551" s="253">
        <v>0</v>
      </c>
      <c r="U551" s="253">
        <v>-7.8115124630678823E-2</v>
      </c>
      <c r="V551" s="247"/>
    </row>
    <row r="552" spans="1:22">
      <c r="A552" s="242"/>
      <c r="B552" s="219" t="s">
        <v>812</v>
      </c>
      <c r="C552" s="239">
        <v>9.9853651487620335E-2</v>
      </c>
      <c r="D552" s="240">
        <v>0</v>
      </c>
      <c r="E552" s="240">
        <v>0.13199839625995718</v>
      </c>
      <c r="F552" s="240">
        <v>0</v>
      </c>
      <c r="G552" s="240">
        <v>0.13808566422547994</v>
      </c>
      <c r="H552" s="240">
        <v>0.22517145181913287</v>
      </c>
      <c r="I552" s="240">
        <v>0</v>
      </c>
      <c r="J552" s="241">
        <v>0.12989967784110815</v>
      </c>
      <c r="K552" s="241">
        <v>0.22453701201120035</v>
      </c>
      <c r="L552" s="240">
        <v>0</v>
      </c>
      <c r="M552" s="240">
        <v>0</v>
      </c>
      <c r="N552" s="240">
        <v>0.2455681982314519</v>
      </c>
      <c r="O552" s="241">
        <v>0.24075366536980389</v>
      </c>
      <c r="P552" s="241">
        <v>0</v>
      </c>
      <c r="Q552" s="240">
        <v>0</v>
      </c>
      <c r="R552" s="241">
        <v>0</v>
      </c>
      <c r="S552" s="241">
        <v>0</v>
      </c>
      <c r="T552" s="241">
        <v>0</v>
      </c>
      <c r="U552" s="241">
        <v>0.15466884326294789</v>
      </c>
      <c r="V552" s="247"/>
    </row>
    <row r="553" spans="1:22">
      <c r="A553" s="242"/>
      <c r="B553" s="243" t="s">
        <v>813</v>
      </c>
      <c r="C553" s="244">
        <v>0.10903250623351586</v>
      </c>
      <c r="D553" s="245">
        <v>0</v>
      </c>
      <c r="E553" s="245">
        <v>0.15267000321410534</v>
      </c>
      <c r="F553" s="245">
        <v>0</v>
      </c>
      <c r="G553" s="245">
        <v>0.1318232283749072</v>
      </c>
      <c r="H553" s="245">
        <v>0.24142098041097979</v>
      </c>
      <c r="I553" s="245">
        <v>0</v>
      </c>
      <c r="J553" s="246">
        <v>0.13897918583685204</v>
      </c>
      <c r="K553" s="246">
        <v>0.22448643666052145</v>
      </c>
      <c r="L553" s="245">
        <v>0</v>
      </c>
      <c r="M553" s="245">
        <v>0</v>
      </c>
      <c r="N553" s="245">
        <v>0.25974908717051892</v>
      </c>
      <c r="O553" s="246">
        <v>0.25137861781353948</v>
      </c>
      <c r="P553" s="246">
        <v>0</v>
      </c>
      <c r="Q553" s="245">
        <v>0</v>
      </c>
      <c r="R553" s="246">
        <v>0</v>
      </c>
      <c r="S553" s="246">
        <v>0</v>
      </c>
      <c r="T553" s="246">
        <v>0</v>
      </c>
      <c r="U553" s="246">
        <v>0.1632303805720805</v>
      </c>
      <c r="V553" s="247"/>
    </row>
    <row r="554" spans="1:22">
      <c r="A554" s="242"/>
      <c r="B554" s="248" t="s">
        <v>814</v>
      </c>
      <c r="C554" s="249">
        <v>0.91788547458955261</v>
      </c>
      <c r="D554" s="250">
        <v>0</v>
      </c>
      <c r="E554" s="250">
        <v>2.0671606954148158</v>
      </c>
      <c r="F554" s="250">
        <v>0</v>
      </c>
      <c r="G554" s="250">
        <v>-0.6262435850572734</v>
      </c>
      <c r="H554" s="250">
        <v>1.6249528591846918</v>
      </c>
      <c r="I554" s="250">
        <v>0</v>
      </c>
      <c r="J554" s="253">
        <v>0.90795079957438907</v>
      </c>
      <c r="K554" s="253">
        <v>-5.0575350678899733E-3</v>
      </c>
      <c r="L554" s="250">
        <v>0</v>
      </c>
      <c r="M554" s="250">
        <v>0</v>
      </c>
      <c r="N554" s="250">
        <v>1.418088893906702</v>
      </c>
      <c r="O554" s="253">
        <v>1.0624952443735598</v>
      </c>
      <c r="P554" s="253">
        <v>0</v>
      </c>
      <c r="Q554" s="250">
        <v>0</v>
      </c>
      <c r="R554" s="253">
        <v>0</v>
      </c>
      <c r="S554" s="253">
        <v>0</v>
      </c>
      <c r="T554" s="253">
        <v>0</v>
      </c>
      <c r="U554" s="253">
        <v>0.85615373091326163</v>
      </c>
      <c r="V554" s="247"/>
    </row>
    <row r="555" spans="1:22">
      <c r="A555" s="242"/>
      <c r="B555" s="219" t="s">
        <v>815</v>
      </c>
      <c r="C555" s="239">
        <v>0</v>
      </c>
      <c r="D555" s="240">
        <v>0</v>
      </c>
      <c r="E555" s="240">
        <v>1.3730132913738454E-2</v>
      </c>
      <c r="F555" s="240">
        <v>0</v>
      </c>
      <c r="G555" s="240">
        <v>2.7416081580174708E-4</v>
      </c>
      <c r="H555" s="240">
        <v>1.7058003022201559E-2</v>
      </c>
      <c r="I555" s="240">
        <v>0</v>
      </c>
      <c r="J555" s="241">
        <v>4.7369605405205243E-3</v>
      </c>
      <c r="K555" s="241">
        <v>0</v>
      </c>
      <c r="L555" s="240">
        <v>0</v>
      </c>
      <c r="M555" s="240">
        <v>0</v>
      </c>
      <c r="N555" s="240">
        <v>2.2394119818330633E-2</v>
      </c>
      <c r="O555" s="241">
        <v>1.7267579420470632E-2</v>
      </c>
      <c r="P555" s="241">
        <v>0</v>
      </c>
      <c r="Q555" s="240">
        <v>0</v>
      </c>
      <c r="R555" s="241">
        <v>0</v>
      </c>
      <c r="S555" s="241">
        <v>0</v>
      </c>
      <c r="T555" s="241">
        <v>0</v>
      </c>
      <c r="U555" s="241">
        <v>7.5367964218880645E-3</v>
      </c>
      <c r="V555" s="247"/>
    </row>
    <row r="556" spans="1:22">
      <c r="A556" s="242"/>
      <c r="B556" s="243" t="s">
        <v>816</v>
      </c>
      <c r="C556" s="244">
        <v>0</v>
      </c>
      <c r="D556" s="245">
        <v>0</v>
      </c>
      <c r="E556" s="245">
        <v>1.4735142415476682E-2</v>
      </c>
      <c r="F556" s="245">
        <v>0</v>
      </c>
      <c r="G556" s="245">
        <v>3.7446048128026067E-4</v>
      </c>
      <c r="H556" s="245">
        <v>1.4568945558448012E-2</v>
      </c>
      <c r="I556" s="245">
        <v>0</v>
      </c>
      <c r="J556" s="246">
        <v>4.6904247969751954E-3</v>
      </c>
      <c r="K556" s="246">
        <v>0</v>
      </c>
      <c r="L556" s="245">
        <v>0</v>
      </c>
      <c r="M556" s="245">
        <v>0</v>
      </c>
      <c r="N556" s="245">
        <v>1.8509346895696638E-2</v>
      </c>
      <c r="O556" s="246">
        <v>1.4115691887710049E-2</v>
      </c>
      <c r="P556" s="246">
        <v>0</v>
      </c>
      <c r="Q556" s="245">
        <v>0</v>
      </c>
      <c r="R556" s="246">
        <v>0</v>
      </c>
      <c r="S556" s="246">
        <v>0</v>
      </c>
      <c r="T556" s="246">
        <v>0</v>
      </c>
      <c r="U556" s="246">
        <v>6.7240114764555627E-3</v>
      </c>
      <c r="V556" s="247"/>
    </row>
    <row r="557" spans="1:22">
      <c r="A557" s="242"/>
      <c r="B557" s="248" t="s">
        <v>817</v>
      </c>
      <c r="C557" s="249">
        <v>0</v>
      </c>
      <c r="D557" s="250">
        <v>0</v>
      </c>
      <c r="E557" s="250">
        <v>0.10050095017382285</v>
      </c>
      <c r="F557" s="250">
        <v>0</v>
      </c>
      <c r="G557" s="250">
        <v>1.0029966547851359E-2</v>
      </c>
      <c r="H557" s="250">
        <v>-0.2489057463753547</v>
      </c>
      <c r="I557" s="250">
        <v>0</v>
      </c>
      <c r="J557" s="253">
        <v>-4.6535743545328932E-3</v>
      </c>
      <c r="K557" s="253">
        <v>0</v>
      </c>
      <c r="L557" s="250">
        <v>0</v>
      </c>
      <c r="M557" s="250">
        <v>0</v>
      </c>
      <c r="N557" s="250">
        <v>-0.3884772922633995</v>
      </c>
      <c r="O557" s="253">
        <v>-0.31518875327605828</v>
      </c>
      <c r="P557" s="253">
        <v>0</v>
      </c>
      <c r="Q557" s="250">
        <v>0</v>
      </c>
      <c r="R557" s="253">
        <v>0</v>
      </c>
      <c r="S557" s="253">
        <v>0</v>
      </c>
      <c r="T557" s="253">
        <v>0</v>
      </c>
      <c r="U557" s="253">
        <v>-8.1278494543250174E-2</v>
      </c>
      <c r="V557" s="247"/>
    </row>
    <row r="558" spans="1:22">
      <c r="A558" s="242"/>
      <c r="B558" s="219" t="s">
        <v>818</v>
      </c>
      <c r="C558" s="239">
        <v>5.829344106551556E-3</v>
      </c>
      <c r="D558" s="240">
        <v>0</v>
      </c>
      <c r="E558" s="240">
        <v>0</v>
      </c>
      <c r="F558" s="240">
        <v>0</v>
      </c>
      <c r="G558" s="240">
        <v>0</v>
      </c>
      <c r="H558" s="240">
        <v>0</v>
      </c>
      <c r="I558" s="240">
        <v>0</v>
      </c>
      <c r="J558" s="241">
        <v>2.7003238679575809E-3</v>
      </c>
      <c r="K558" s="241">
        <v>2.6919791993253836E-3</v>
      </c>
      <c r="L558" s="240">
        <v>0</v>
      </c>
      <c r="M558" s="240">
        <v>0</v>
      </c>
      <c r="N558" s="240">
        <v>0</v>
      </c>
      <c r="O558" s="241">
        <v>6.16257313415105E-4</v>
      </c>
      <c r="P558" s="241">
        <v>0</v>
      </c>
      <c r="Q558" s="240">
        <v>0</v>
      </c>
      <c r="R558" s="241">
        <v>0</v>
      </c>
      <c r="S558" s="241">
        <v>0</v>
      </c>
      <c r="T558" s="241">
        <v>0</v>
      </c>
      <c r="U558" s="241">
        <v>2.234660968585345E-3</v>
      </c>
      <c r="V558" s="247"/>
    </row>
    <row r="559" spans="1:22">
      <c r="A559" s="242"/>
      <c r="B559" s="243" t="s">
        <v>819</v>
      </c>
      <c r="C559" s="244">
        <v>6.353818497795473E-3</v>
      </c>
      <c r="D559" s="245">
        <v>0</v>
      </c>
      <c r="E559" s="245">
        <v>0</v>
      </c>
      <c r="F559" s="245">
        <v>0</v>
      </c>
      <c r="G559" s="245">
        <v>0</v>
      </c>
      <c r="H559" s="245">
        <v>1.6940634370288386E-5</v>
      </c>
      <c r="I559" s="245">
        <v>0</v>
      </c>
      <c r="J559" s="246">
        <v>2.9733495007868735E-3</v>
      </c>
      <c r="K559" s="246">
        <v>2.8278904398209112E-2</v>
      </c>
      <c r="L559" s="245">
        <v>0</v>
      </c>
      <c r="M559" s="245">
        <v>0</v>
      </c>
      <c r="N559" s="245">
        <v>0</v>
      </c>
      <c r="O559" s="246">
        <v>6.71270308075822E-3</v>
      </c>
      <c r="P559" s="246">
        <v>0</v>
      </c>
      <c r="Q559" s="245">
        <v>0</v>
      </c>
      <c r="R559" s="246">
        <v>0</v>
      </c>
      <c r="S559" s="246">
        <v>0</v>
      </c>
      <c r="T559" s="246">
        <v>0</v>
      </c>
      <c r="U559" s="246">
        <v>3.7801488791909155E-3</v>
      </c>
      <c r="V559" s="247"/>
    </row>
    <row r="560" spans="1:22">
      <c r="A560" s="242"/>
      <c r="B560" s="248" t="s">
        <v>820</v>
      </c>
      <c r="C560" s="249">
        <v>5.2447439124391704E-2</v>
      </c>
      <c r="D560" s="250">
        <v>0</v>
      </c>
      <c r="E560" s="250">
        <v>0</v>
      </c>
      <c r="F560" s="250">
        <v>0</v>
      </c>
      <c r="G560" s="250">
        <v>0</v>
      </c>
      <c r="H560" s="250">
        <v>0</v>
      </c>
      <c r="I560" s="250">
        <v>0</v>
      </c>
      <c r="J560" s="253">
        <v>2.7302563282929251E-2</v>
      </c>
      <c r="K560" s="253">
        <v>2.558692519888373</v>
      </c>
      <c r="L560" s="250">
        <v>0</v>
      </c>
      <c r="M560" s="250">
        <v>0</v>
      </c>
      <c r="N560" s="250">
        <v>0</v>
      </c>
      <c r="O560" s="253">
        <v>0.60964457673431149</v>
      </c>
      <c r="P560" s="253">
        <v>0</v>
      </c>
      <c r="Q560" s="250">
        <v>0</v>
      </c>
      <c r="R560" s="253">
        <v>0</v>
      </c>
      <c r="S560" s="253">
        <v>0</v>
      </c>
      <c r="T560" s="253">
        <v>0</v>
      </c>
      <c r="U560" s="253">
        <v>0.15454879106055705</v>
      </c>
      <c r="V560" s="247"/>
    </row>
    <row r="561" spans="1:22">
      <c r="A561" s="242"/>
      <c r="B561" s="219" t="s">
        <v>821</v>
      </c>
      <c r="C561" s="239">
        <v>0</v>
      </c>
      <c r="D561" s="240">
        <v>0</v>
      </c>
      <c r="E561" s="240">
        <v>0</v>
      </c>
      <c r="F561" s="240">
        <v>0</v>
      </c>
      <c r="G561" s="240">
        <v>0</v>
      </c>
      <c r="H561" s="240">
        <v>0</v>
      </c>
      <c r="I561" s="240">
        <v>0</v>
      </c>
      <c r="J561" s="241">
        <v>0</v>
      </c>
      <c r="K561" s="241">
        <v>0</v>
      </c>
      <c r="L561" s="240">
        <v>0</v>
      </c>
      <c r="M561" s="240">
        <v>0</v>
      </c>
      <c r="N561" s="240">
        <v>0</v>
      </c>
      <c r="O561" s="241">
        <v>0</v>
      </c>
      <c r="P561" s="241">
        <v>0</v>
      </c>
      <c r="Q561" s="240">
        <v>0</v>
      </c>
      <c r="R561" s="241">
        <v>0</v>
      </c>
      <c r="S561" s="241">
        <v>0</v>
      </c>
      <c r="T561" s="241">
        <v>0</v>
      </c>
      <c r="U561" s="241">
        <v>0</v>
      </c>
      <c r="V561" s="247"/>
    </row>
    <row r="562" spans="1:22">
      <c r="A562" s="242"/>
      <c r="B562" s="243" t="s">
        <v>822</v>
      </c>
      <c r="C562" s="244">
        <v>0</v>
      </c>
      <c r="D562" s="245">
        <v>0</v>
      </c>
      <c r="E562" s="245">
        <v>0</v>
      </c>
      <c r="F562" s="245">
        <v>0</v>
      </c>
      <c r="G562" s="245">
        <v>0</v>
      </c>
      <c r="H562" s="245">
        <v>0</v>
      </c>
      <c r="I562" s="245">
        <v>0</v>
      </c>
      <c r="J562" s="246">
        <v>0</v>
      </c>
      <c r="K562" s="246">
        <v>0</v>
      </c>
      <c r="L562" s="245">
        <v>0</v>
      </c>
      <c r="M562" s="245">
        <v>0</v>
      </c>
      <c r="N562" s="245">
        <v>0</v>
      </c>
      <c r="O562" s="246">
        <v>0</v>
      </c>
      <c r="P562" s="246">
        <v>0</v>
      </c>
      <c r="Q562" s="245">
        <v>0</v>
      </c>
      <c r="R562" s="246">
        <v>0</v>
      </c>
      <c r="S562" s="246">
        <v>0</v>
      </c>
      <c r="T562" s="246">
        <v>0</v>
      </c>
      <c r="U562" s="246">
        <v>0</v>
      </c>
      <c r="V562" s="247"/>
    </row>
    <row r="563" spans="1:22" ht="15.75" thickBot="1">
      <c r="A563" s="242"/>
      <c r="B563" s="257" t="s">
        <v>823</v>
      </c>
      <c r="C563" s="258">
        <v>0</v>
      </c>
      <c r="D563" s="259">
        <v>0</v>
      </c>
      <c r="E563" s="259">
        <v>0</v>
      </c>
      <c r="F563" s="259">
        <v>0</v>
      </c>
      <c r="G563" s="259">
        <v>0</v>
      </c>
      <c r="H563" s="259">
        <v>0</v>
      </c>
      <c r="I563" s="259">
        <v>0</v>
      </c>
      <c r="J563" s="260">
        <v>0</v>
      </c>
      <c r="K563" s="260">
        <v>0</v>
      </c>
      <c r="L563" s="259">
        <v>0</v>
      </c>
      <c r="M563" s="259">
        <v>0</v>
      </c>
      <c r="N563" s="259">
        <v>0</v>
      </c>
      <c r="O563" s="260">
        <v>0</v>
      </c>
      <c r="P563" s="260">
        <v>0</v>
      </c>
      <c r="Q563" s="259">
        <v>0</v>
      </c>
      <c r="R563" s="260">
        <v>0</v>
      </c>
      <c r="S563" s="260">
        <v>0</v>
      </c>
      <c r="T563" s="260">
        <v>0</v>
      </c>
      <c r="U563" s="260">
        <v>0</v>
      </c>
      <c r="V563" s="247"/>
    </row>
    <row r="564" spans="1:22" ht="15.75" thickTop="1">
      <c r="A564" s="242"/>
      <c r="B564" s="243" t="s">
        <v>824</v>
      </c>
      <c r="C564" s="244">
        <v>0.66435738426388991</v>
      </c>
      <c r="D564" s="245">
        <v>0</v>
      </c>
      <c r="E564" s="245">
        <v>0.52219120328167734</v>
      </c>
      <c r="F564" s="245">
        <v>0</v>
      </c>
      <c r="G564" s="245">
        <v>0.40069179867655907</v>
      </c>
      <c r="H564" s="245">
        <v>0.66798418972332019</v>
      </c>
      <c r="I564" s="245">
        <v>0</v>
      </c>
      <c r="J564" s="246">
        <v>0.58261802575107291</v>
      </c>
      <c r="K564" s="246">
        <v>0</v>
      </c>
      <c r="L564" s="245">
        <v>0</v>
      </c>
      <c r="M564" s="245">
        <v>0</v>
      </c>
      <c r="N564" s="245">
        <v>0</v>
      </c>
      <c r="O564" s="246">
        <v>0</v>
      </c>
      <c r="P564" s="246">
        <v>0</v>
      </c>
      <c r="Q564" s="245">
        <v>0</v>
      </c>
      <c r="R564" s="246">
        <v>0</v>
      </c>
      <c r="S564" s="246">
        <v>0</v>
      </c>
      <c r="T564" s="246">
        <v>0</v>
      </c>
      <c r="U564" s="246">
        <v>0.58261802575107291</v>
      </c>
      <c r="V564" s="247"/>
    </row>
    <row r="565" spans="1:22">
      <c r="A565" s="242"/>
      <c r="B565" s="243" t="s">
        <v>825</v>
      </c>
      <c r="C565" s="244">
        <v>0.65761257256993599</v>
      </c>
      <c r="D565" s="245">
        <v>0</v>
      </c>
      <c r="E565" s="245">
        <v>0.52908715311384946</v>
      </c>
      <c r="F565" s="245">
        <v>0</v>
      </c>
      <c r="G565" s="245">
        <v>0.43355209187858901</v>
      </c>
      <c r="H565" s="245">
        <v>0.68521462639109698</v>
      </c>
      <c r="I565" s="245">
        <v>0</v>
      </c>
      <c r="J565" s="246">
        <v>0.58289307219920616</v>
      </c>
      <c r="K565" s="246">
        <v>0</v>
      </c>
      <c r="L565" s="245">
        <v>0</v>
      </c>
      <c r="M565" s="245">
        <v>0</v>
      </c>
      <c r="N565" s="245">
        <v>0</v>
      </c>
      <c r="O565" s="246">
        <v>0</v>
      </c>
      <c r="P565" s="246">
        <v>0</v>
      </c>
      <c r="Q565" s="245">
        <v>0</v>
      </c>
      <c r="R565" s="246">
        <v>0</v>
      </c>
      <c r="S565" s="246">
        <v>0</v>
      </c>
      <c r="T565" s="246">
        <v>0</v>
      </c>
      <c r="U565" s="246">
        <v>0.58289307219920616</v>
      </c>
      <c r="V565" s="247"/>
    </row>
    <row r="566" spans="1:22">
      <c r="A566" s="242"/>
      <c r="B566" s="248" t="s">
        <v>826</v>
      </c>
      <c r="C566" s="249">
        <v>-0.67448116939539116</v>
      </c>
      <c r="D566" s="250">
        <v>0</v>
      </c>
      <c r="E566" s="252">
        <v>0.68959498321721213</v>
      </c>
      <c r="F566" s="250">
        <v>0</v>
      </c>
      <c r="G566" s="250">
        <v>3.2860293202029931</v>
      </c>
      <c r="H566" s="252">
        <v>1.7230436667776794</v>
      </c>
      <c r="I566" s="250">
        <v>0</v>
      </c>
      <c r="J566" s="253">
        <v>2.7504644813325374E-2</v>
      </c>
      <c r="K566" s="253">
        <v>0</v>
      </c>
      <c r="L566" s="250">
        <v>0</v>
      </c>
      <c r="M566" s="250">
        <v>0</v>
      </c>
      <c r="N566" s="250">
        <v>0</v>
      </c>
      <c r="O566" s="253">
        <v>0</v>
      </c>
      <c r="P566" s="253">
        <v>0</v>
      </c>
      <c r="Q566" s="250">
        <v>0</v>
      </c>
      <c r="R566" s="253">
        <v>0</v>
      </c>
      <c r="S566" s="253">
        <v>0</v>
      </c>
      <c r="T566" s="253">
        <v>0</v>
      </c>
      <c r="U566" s="253">
        <v>2.7504644813325374E-2</v>
      </c>
      <c r="V566" s="247"/>
    </row>
    <row r="567" spans="1:22">
      <c r="A567" s="242"/>
      <c r="B567" s="219" t="s">
        <v>827</v>
      </c>
      <c r="C567" s="239">
        <v>3.0101390833763252E-2</v>
      </c>
      <c r="D567" s="240">
        <v>0</v>
      </c>
      <c r="E567" s="240">
        <v>0.25155252962625341</v>
      </c>
      <c r="F567" s="240">
        <v>0</v>
      </c>
      <c r="G567" s="240">
        <v>7.1836775616603163E-2</v>
      </c>
      <c r="H567" s="240">
        <v>8.5375494071146252E-2</v>
      </c>
      <c r="I567" s="240">
        <v>0</v>
      </c>
      <c r="J567" s="241">
        <v>0.11835300429184549</v>
      </c>
      <c r="K567" s="241">
        <v>0</v>
      </c>
      <c r="L567" s="240">
        <v>0</v>
      </c>
      <c r="M567" s="240">
        <v>0</v>
      </c>
      <c r="N567" s="240">
        <v>0</v>
      </c>
      <c r="O567" s="241">
        <v>0</v>
      </c>
      <c r="P567" s="241">
        <v>0</v>
      </c>
      <c r="Q567" s="240">
        <v>0</v>
      </c>
      <c r="R567" s="241">
        <v>0</v>
      </c>
      <c r="S567" s="241">
        <v>0</v>
      </c>
      <c r="T567" s="241">
        <v>0</v>
      </c>
      <c r="U567" s="241">
        <v>0.11835300429184549</v>
      </c>
      <c r="V567" s="247"/>
    </row>
    <row r="568" spans="1:22">
      <c r="A568" s="242"/>
      <c r="B568" s="243" t="s">
        <v>828</v>
      </c>
      <c r="C568" s="244">
        <v>4.8760412208211243E-2</v>
      </c>
      <c r="D568" s="245">
        <v>0</v>
      </c>
      <c r="E568" s="245">
        <v>0.23440186065325108</v>
      </c>
      <c r="F568" s="245">
        <v>0</v>
      </c>
      <c r="G568" s="245">
        <v>7.9801294321392768E-2</v>
      </c>
      <c r="H568" s="245">
        <v>4.6104928457869634E-2</v>
      </c>
      <c r="I568" s="245">
        <v>0</v>
      </c>
      <c r="J568" s="246">
        <v>0.12220707929044204</v>
      </c>
      <c r="K568" s="246">
        <v>0</v>
      </c>
      <c r="L568" s="245">
        <v>0</v>
      </c>
      <c r="M568" s="245">
        <v>0</v>
      </c>
      <c r="N568" s="245">
        <v>0</v>
      </c>
      <c r="O568" s="246">
        <v>0</v>
      </c>
      <c r="P568" s="246">
        <v>0</v>
      </c>
      <c r="Q568" s="245">
        <v>0</v>
      </c>
      <c r="R568" s="246">
        <v>0</v>
      </c>
      <c r="S568" s="246">
        <v>0</v>
      </c>
      <c r="T568" s="246">
        <v>0</v>
      </c>
      <c r="U568" s="246">
        <v>0.12220707929044204</v>
      </c>
      <c r="V568" s="247"/>
    </row>
    <row r="569" spans="1:22">
      <c r="A569" s="242"/>
      <c r="B569" s="248" t="s">
        <v>829</v>
      </c>
      <c r="C569" s="249">
        <v>1.865902137444799</v>
      </c>
      <c r="D569" s="250">
        <v>0</v>
      </c>
      <c r="E569" s="250">
        <v>-1.7150668973002325</v>
      </c>
      <c r="F569" s="250">
        <v>0</v>
      </c>
      <c r="G569" s="250">
        <v>0.79645187047896049</v>
      </c>
      <c r="H569" s="250">
        <v>-3.9270565613276616</v>
      </c>
      <c r="I569" s="250">
        <v>0</v>
      </c>
      <c r="J569" s="253">
        <v>0.38540749985965517</v>
      </c>
      <c r="K569" s="253">
        <v>0</v>
      </c>
      <c r="L569" s="250">
        <v>0</v>
      </c>
      <c r="M569" s="250">
        <v>0</v>
      </c>
      <c r="N569" s="250">
        <v>0</v>
      </c>
      <c r="O569" s="253">
        <v>0</v>
      </c>
      <c r="P569" s="253">
        <v>0</v>
      </c>
      <c r="Q569" s="250">
        <v>0</v>
      </c>
      <c r="R569" s="253">
        <v>0</v>
      </c>
      <c r="S569" s="253">
        <v>0</v>
      </c>
      <c r="T569" s="253">
        <v>0</v>
      </c>
      <c r="U569" s="253">
        <v>0.38540749985965517</v>
      </c>
      <c r="V569" s="247"/>
    </row>
    <row r="570" spans="1:22">
      <c r="A570" s="242"/>
      <c r="B570" s="219" t="s">
        <v>830</v>
      </c>
      <c r="C570" s="239">
        <v>0.299066109350488</v>
      </c>
      <c r="D570" s="240">
        <v>0</v>
      </c>
      <c r="E570" s="240">
        <v>0.21422060164083864</v>
      </c>
      <c r="F570" s="240">
        <v>0</v>
      </c>
      <c r="G570" s="240">
        <v>0.5274714257068378</v>
      </c>
      <c r="H570" s="240">
        <v>0.24664031620553359</v>
      </c>
      <c r="I570" s="240">
        <v>0</v>
      </c>
      <c r="J570" s="241">
        <v>0.29119635193133048</v>
      </c>
      <c r="K570" s="241">
        <v>0</v>
      </c>
      <c r="L570" s="240">
        <v>0</v>
      </c>
      <c r="M570" s="240">
        <v>0</v>
      </c>
      <c r="N570" s="240">
        <v>0</v>
      </c>
      <c r="O570" s="241">
        <v>0</v>
      </c>
      <c r="P570" s="241">
        <v>0</v>
      </c>
      <c r="Q570" s="240">
        <v>0</v>
      </c>
      <c r="R570" s="241">
        <v>0</v>
      </c>
      <c r="S570" s="241">
        <v>0</v>
      </c>
      <c r="T570" s="241">
        <v>0</v>
      </c>
      <c r="U570" s="241">
        <v>0.29119635193133048</v>
      </c>
      <c r="V570" s="247"/>
    </row>
    <row r="571" spans="1:22">
      <c r="A571" s="242"/>
      <c r="B571" s="243" t="s">
        <v>831</v>
      </c>
      <c r="C571" s="244">
        <v>0.28871036776084025</v>
      </c>
      <c r="D571" s="245">
        <v>0</v>
      </c>
      <c r="E571" s="245">
        <v>0.22634095604062235</v>
      </c>
      <c r="F571" s="245">
        <v>0</v>
      </c>
      <c r="G571" s="245">
        <v>0.48664661380001822</v>
      </c>
      <c r="H571" s="245">
        <v>0.2686804451510334</v>
      </c>
      <c r="I571" s="245">
        <v>0</v>
      </c>
      <c r="J571" s="246">
        <v>0.28864479206824095</v>
      </c>
      <c r="K571" s="246">
        <v>0</v>
      </c>
      <c r="L571" s="245">
        <v>0</v>
      </c>
      <c r="M571" s="245">
        <v>0</v>
      </c>
      <c r="N571" s="245">
        <v>0</v>
      </c>
      <c r="O571" s="246">
        <v>0</v>
      </c>
      <c r="P571" s="246">
        <v>0</v>
      </c>
      <c r="Q571" s="245">
        <v>0</v>
      </c>
      <c r="R571" s="246">
        <v>0</v>
      </c>
      <c r="S571" s="246">
        <v>0</v>
      </c>
      <c r="T571" s="246">
        <v>0</v>
      </c>
      <c r="U571" s="246">
        <v>0.28864479206824095</v>
      </c>
      <c r="V571" s="247"/>
    </row>
    <row r="572" spans="1:22">
      <c r="A572" s="242"/>
      <c r="B572" s="248" t="s">
        <v>832</v>
      </c>
      <c r="C572" s="249">
        <v>-1.0355741589647749</v>
      </c>
      <c r="D572" s="250">
        <v>0</v>
      </c>
      <c r="E572" s="252">
        <v>1.2120354399783706</v>
      </c>
      <c r="F572" s="250">
        <v>0</v>
      </c>
      <c r="G572" s="250">
        <v>-4.0824811906819578</v>
      </c>
      <c r="H572" s="252">
        <v>2.2040128945499808</v>
      </c>
      <c r="I572" s="250">
        <v>0</v>
      </c>
      <c r="J572" s="253">
        <v>-0.25515598630895253</v>
      </c>
      <c r="K572" s="253">
        <v>0</v>
      </c>
      <c r="L572" s="250">
        <v>0</v>
      </c>
      <c r="M572" s="250">
        <v>0</v>
      </c>
      <c r="N572" s="250">
        <v>0</v>
      </c>
      <c r="O572" s="253">
        <v>0</v>
      </c>
      <c r="P572" s="253">
        <v>0</v>
      </c>
      <c r="Q572" s="250">
        <v>0</v>
      </c>
      <c r="R572" s="253">
        <v>0</v>
      </c>
      <c r="S572" s="253">
        <v>0</v>
      </c>
      <c r="T572" s="253">
        <v>0</v>
      </c>
      <c r="U572" s="253">
        <v>-0.25515598630895253</v>
      </c>
      <c r="V572" s="247"/>
    </row>
    <row r="573" spans="1:22">
      <c r="A573" s="242"/>
      <c r="B573" s="219" t="s">
        <v>833</v>
      </c>
      <c r="C573" s="239">
        <v>3.1585929521262596E-5</v>
      </c>
      <c r="D573" s="240">
        <v>0</v>
      </c>
      <c r="E573" s="240">
        <v>1.2035665451230628E-2</v>
      </c>
      <c r="F573" s="240">
        <v>0</v>
      </c>
      <c r="G573" s="240">
        <v>0</v>
      </c>
      <c r="H573" s="240">
        <v>0</v>
      </c>
      <c r="I573" s="240">
        <v>0</v>
      </c>
      <c r="J573" s="241">
        <v>4.5493562231759656E-3</v>
      </c>
      <c r="K573" s="241">
        <v>0</v>
      </c>
      <c r="L573" s="240">
        <v>0</v>
      </c>
      <c r="M573" s="240">
        <v>0</v>
      </c>
      <c r="N573" s="240">
        <v>0</v>
      </c>
      <c r="O573" s="241">
        <v>0</v>
      </c>
      <c r="P573" s="241">
        <v>0</v>
      </c>
      <c r="Q573" s="240">
        <v>0</v>
      </c>
      <c r="R573" s="241">
        <v>0</v>
      </c>
      <c r="S573" s="241">
        <v>0</v>
      </c>
      <c r="T573" s="241">
        <v>0</v>
      </c>
      <c r="U573" s="241">
        <v>4.5493562231759656E-3</v>
      </c>
      <c r="V573" s="247"/>
    </row>
    <row r="574" spans="1:22">
      <c r="A574" s="242"/>
      <c r="B574" s="243" t="s">
        <v>834</v>
      </c>
      <c r="C574" s="244">
        <v>0</v>
      </c>
      <c r="D574" s="245">
        <v>0</v>
      </c>
      <c r="E574" s="245">
        <v>1.0170030192277133E-2</v>
      </c>
      <c r="F574" s="245">
        <v>0</v>
      </c>
      <c r="G574" s="245">
        <v>0</v>
      </c>
      <c r="H574" s="245">
        <v>0</v>
      </c>
      <c r="I574" s="245">
        <v>0</v>
      </c>
      <c r="J574" s="246">
        <v>3.8225344924010837E-3</v>
      </c>
      <c r="K574" s="246">
        <v>0</v>
      </c>
      <c r="L574" s="245">
        <v>0</v>
      </c>
      <c r="M574" s="245">
        <v>0</v>
      </c>
      <c r="N574" s="245">
        <v>0</v>
      </c>
      <c r="O574" s="246">
        <v>0</v>
      </c>
      <c r="P574" s="246">
        <v>0</v>
      </c>
      <c r="Q574" s="245">
        <v>0</v>
      </c>
      <c r="R574" s="246">
        <v>0</v>
      </c>
      <c r="S574" s="246">
        <v>0</v>
      </c>
      <c r="T574" s="246">
        <v>0</v>
      </c>
      <c r="U574" s="246">
        <v>3.8225344924010837E-3</v>
      </c>
      <c r="V574" s="247"/>
    </row>
    <row r="575" spans="1:22">
      <c r="A575" s="242"/>
      <c r="B575" s="248" t="s">
        <v>835</v>
      </c>
      <c r="C575" s="249">
        <v>-3.1585929521262598E-3</v>
      </c>
      <c r="D575" s="250">
        <v>0</v>
      </c>
      <c r="E575" s="250">
        <v>-0.1865635258953495</v>
      </c>
      <c r="F575" s="250">
        <v>0</v>
      </c>
      <c r="G575" s="250">
        <v>0</v>
      </c>
      <c r="H575" s="250">
        <v>0</v>
      </c>
      <c r="I575" s="250">
        <v>0</v>
      </c>
      <c r="J575" s="253">
        <v>-7.2682173077488185E-2</v>
      </c>
      <c r="K575" s="253">
        <v>0</v>
      </c>
      <c r="L575" s="250">
        <v>0</v>
      </c>
      <c r="M575" s="250">
        <v>0</v>
      </c>
      <c r="N575" s="250">
        <v>0</v>
      </c>
      <c r="O575" s="253">
        <v>0</v>
      </c>
      <c r="P575" s="253">
        <v>0</v>
      </c>
      <c r="Q575" s="250">
        <v>0</v>
      </c>
      <c r="R575" s="253">
        <v>0</v>
      </c>
      <c r="S575" s="253">
        <v>0</v>
      </c>
      <c r="T575" s="253">
        <v>0</v>
      </c>
      <c r="U575" s="253">
        <v>-7.2682173077488185E-2</v>
      </c>
      <c r="V575" s="247"/>
    </row>
    <row r="576" spans="1:22">
      <c r="A576" s="242"/>
      <c r="B576" s="219" t="s">
        <v>836</v>
      </c>
      <c r="C576" s="239">
        <v>6.4435296223375694E-3</v>
      </c>
      <c r="D576" s="240">
        <v>0</v>
      </c>
      <c r="E576" s="240">
        <v>0</v>
      </c>
      <c r="F576" s="240">
        <v>0</v>
      </c>
      <c r="G576" s="240">
        <v>0</v>
      </c>
      <c r="H576" s="240">
        <v>0</v>
      </c>
      <c r="I576" s="240">
        <v>0</v>
      </c>
      <c r="J576" s="241">
        <v>3.2832618025751075E-3</v>
      </c>
      <c r="K576" s="241">
        <v>0</v>
      </c>
      <c r="L576" s="240">
        <v>0</v>
      </c>
      <c r="M576" s="240">
        <v>0</v>
      </c>
      <c r="N576" s="240">
        <v>0</v>
      </c>
      <c r="O576" s="241">
        <v>0</v>
      </c>
      <c r="P576" s="241">
        <v>0</v>
      </c>
      <c r="Q576" s="240">
        <v>0</v>
      </c>
      <c r="R576" s="241">
        <v>0</v>
      </c>
      <c r="S576" s="241">
        <v>0</v>
      </c>
      <c r="T576" s="241">
        <v>0</v>
      </c>
      <c r="U576" s="241">
        <v>3.2832618025751075E-3</v>
      </c>
      <c r="V576" s="247"/>
    </row>
    <row r="577" spans="1:22">
      <c r="A577" s="242"/>
      <c r="B577" s="243" t="s">
        <v>837</v>
      </c>
      <c r="C577" s="244">
        <v>4.9166474610125221E-3</v>
      </c>
      <c r="D577" s="245">
        <v>0</v>
      </c>
      <c r="E577" s="245">
        <v>0</v>
      </c>
      <c r="F577" s="245">
        <v>0</v>
      </c>
      <c r="G577" s="245">
        <v>0</v>
      </c>
      <c r="H577" s="245">
        <v>0</v>
      </c>
      <c r="I577" s="245">
        <v>0</v>
      </c>
      <c r="J577" s="246">
        <v>2.4325219497097804E-3</v>
      </c>
      <c r="K577" s="246">
        <v>0</v>
      </c>
      <c r="L577" s="245">
        <v>0</v>
      </c>
      <c r="M577" s="245">
        <v>0</v>
      </c>
      <c r="N577" s="245">
        <v>0</v>
      </c>
      <c r="O577" s="246">
        <v>0</v>
      </c>
      <c r="P577" s="246">
        <v>0</v>
      </c>
      <c r="Q577" s="245">
        <v>0</v>
      </c>
      <c r="R577" s="246">
        <v>0</v>
      </c>
      <c r="S577" s="246">
        <v>0</v>
      </c>
      <c r="T577" s="246">
        <v>0</v>
      </c>
      <c r="U577" s="246">
        <v>2.4325219497097804E-3</v>
      </c>
      <c r="V577" s="247"/>
    </row>
    <row r="578" spans="1:22">
      <c r="A578" s="242"/>
      <c r="B578" s="248" t="s">
        <v>838</v>
      </c>
      <c r="C578" s="249">
        <v>-0.15268821613250472</v>
      </c>
      <c r="D578" s="250">
        <v>0</v>
      </c>
      <c r="E578" s="250">
        <v>0</v>
      </c>
      <c r="F578" s="250">
        <v>0</v>
      </c>
      <c r="G578" s="250">
        <v>0</v>
      </c>
      <c r="H578" s="250">
        <v>0</v>
      </c>
      <c r="I578" s="250">
        <v>0</v>
      </c>
      <c r="J578" s="253">
        <v>-8.5073985286532705E-2</v>
      </c>
      <c r="K578" s="253">
        <v>0</v>
      </c>
      <c r="L578" s="250">
        <v>0</v>
      </c>
      <c r="M578" s="250">
        <v>0</v>
      </c>
      <c r="N578" s="250">
        <v>0</v>
      </c>
      <c r="O578" s="253">
        <v>0</v>
      </c>
      <c r="P578" s="253">
        <v>0</v>
      </c>
      <c r="Q578" s="250">
        <v>0</v>
      </c>
      <c r="R578" s="253">
        <v>0</v>
      </c>
      <c r="S578" s="253">
        <v>0</v>
      </c>
      <c r="T578" s="253">
        <v>0</v>
      </c>
      <c r="U578" s="253">
        <v>-8.5073985286532705E-2</v>
      </c>
      <c r="V578" s="247"/>
    </row>
    <row r="579" spans="1:22">
      <c r="A579" s="242"/>
      <c r="B579" s="219" t="s">
        <v>839</v>
      </c>
      <c r="C579" s="239">
        <v>0</v>
      </c>
      <c r="D579" s="240">
        <v>0</v>
      </c>
      <c r="E579" s="240">
        <v>0</v>
      </c>
      <c r="F579" s="240">
        <v>0</v>
      </c>
      <c r="G579" s="240">
        <v>0</v>
      </c>
      <c r="H579" s="240">
        <v>0</v>
      </c>
      <c r="I579" s="240">
        <v>0</v>
      </c>
      <c r="J579" s="241">
        <v>0</v>
      </c>
      <c r="K579" s="241">
        <v>0</v>
      </c>
      <c r="L579" s="240">
        <v>0</v>
      </c>
      <c r="M579" s="240">
        <v>0</v>
      </c>
      <c r="N579" s="240">
        <v>0</v>
      </c>
      <c r="O579" s="241">
        <v>0</v>
      </c>
      <c r="P579" s="241">
        <v>0</v>
      </c>
      <c r="Q579" s="240">
        <v>0</v>
      </c>
      <c r="R579" s="241">
        <v>0</v>
      </c>
      <c r="S579" s="241">
        <v>0</v>
      </c>
      <c r="T579" s="241">
        <v>0</v>
      </c>
      <c r="U579" s="241">
        <v>0</v>
      </c>
      <c r="V579" s="247"/>
    </row>
    <row r="580" spans="1:22">
      <c r="A580" s="242"/>
      <c r="B580" s="243" t="s">
        <v>840</v>
      </c>
      <c r="C580" s="244">
        <v>0</v>
      </c>
      <c r="D580" s="245">
        <v>0</v>
      </c>
      <c r="E580" s="245">
        <v>0</v>
      </c>
      <c r="F580" s="245">
        <v>0</v>
      </c>
      <c r="G580" s="245">
        <v>0</v>
      </c>
      <c r="H580" s="245">
        <v>0</v>
      </c>
      <c r="I580" s="245">
        <v>0</v>
      </c>
      <c r="J580" s="246">
        <v>0</v>
      </c>
      <c r="K580" s="246">
        <v>0</v>
      </c>
      <c r="L580" s="245">
        <v>0</v>
      </c>
      <c r="M580" s="245">
        <v>0</v>
      </c>
      <c r="N580" s="245">
        <v>0</v>
      </c>
      <c r="O580" s="246">
        <v>0</v>
      </c>
      <c r="P580" s="246">
        <v>0</v>
      </c>
      <c r="Q580" s="245">
        <v>0</v>
      </c>
      <c r="R580" s="246">
        <v>0</v>
      </c>
      <c r="S580" s="246">
        <v>0</v>
      </c>
      <c r="T580" s="246">
        <v>0</v>
      </c>
      <c r="U580" s="246">
        <v>0</v>
      </c>
      <c r="V580" s="247"/>
    </row>
    <row r="581" spans="1:22" ht="15.75" thickBot="1">
      <c r="A581" s="261"/>
      <c r="B581" s="262" t="s">
        <v>841</v>
      </c>
      <c r="C581" s="263">
        <v>0</v>
      </c>
      <c r="D581" s="264">
        <v>0</v>
      </c>
      <c r="E581" s="264">
        <v>0</v>
      </c>
      <c r="F581" s="264">
        <v>0</v>
      </c>
      <c r="G581" s="264">
        <v>0</v>
      </c>
      <c r="H581" s="264">
        <v>0</v>
      </c>
      <c r="I581" s="264">
        <v>0</v>
      </c>
      <c r="J581" s="265">
        <v>0</v>
      </c>
      <c r="K581" s="265">
        <v>0</v>
      </c>
      <c r="L581" s="264">
        <v>0</v>
      </c>
      <c r="M581" s="264">
        <v>0</v>
      </c>
      <c r="N581" s="264">
        <v>0</v>
      </c>
      <c r="O581" s="265">
        <v>0</v>
      </c>
      <c r="P581" s="265">
        <v>0</v>
      </c>
      <c r="Q581" s="264">
        <v>0</v>
      </c>
      <c r="R581" s="265">
        <v>0</v>
      </c>
      <c r="S581" s="265">
        <v>0</v>
      </c>
      <c r="T581" s="265">
        <v>0</v>
      </c>
      <c r="U581" s="265">
        <v>0</v>
      </c>
      <c r="V581" s="247"/>
    </row>
    <row r="582" spans="1:22">
      <c r="A582" s="238" t="s">
        <v>842</v>
      </c>
      <c r="B582" s="219"/>
      <c r="C582" s="239">
        <v>0.8809355599037022</v>
      </c>
      <c r="D582" s="240">
        <v>0.83477135217083731</v>
      </c>
      <c r="E582" s="240">
        <v>0.80850457281856247</v>
      </c>
      <c r="F582" s="240">
        <v>0.79082733736314048</v>
      </c>
      <c r="G582" s="240">
        <v>0.79744192057744545</v>
      </c>
      <c r="H582" s="240">
        <v>0.80776140706823929</v>
      </c>
      <c r="I582" s="240">
        <v>4.8732950518535663E-2</v>
      </c>
      <c r="J582" s="241">
        <v>0.83011833449729266</v>
      </c>
      <c r="K582" s="241">
        <v>0.71599612874393359</v>
      </c>
      <c r="L582" s="240">
        <v>0.63162169015413361</v>
      </c>
      <c r="M582" s="240">
        <v>0.54535879497433759</v>
      </c>
      <c r="N582" s="240">
        <v>0.55927096839372836</v>
      </c>
      <c r="O582" s="241">
        <v>0.62505677407781657</v>
      </c>
      <c r="P582" s="241">
        <v>0.69890390692383586</v>
      </c>
      <c r="Q582" s="240">
        <v>0.78891469636511624</v>
      </c>
      <c r="R582" s="241">
        <v>0.70072834695026176</v>
      </c>
      <c r="S582" s="241">
        <v>0</v>
      </c>
      <c r="T582" s="241">
        <v>0</v>
      </c>
      <c r="U582" s="241">
        <v>0.73748051810242532</v>
      </c>
      <c r="V582" s="247"/>
    </row>
    <row r="583" spans="1:22">
      <c r="A583" s="242" t="s">
        <v>843</v>
      </c>
      <c r="B583" s="243"/>
      <c r="C583" s="244">
        <v>0.87028380038230191</v>
      </c>
      <c r="D583" s="245">
        <v>0.82393415429169847</v>
      </c>
      <c r="E583" s="245">
        <v>0.78814574370650226</v>
      </c>
      <c r="F583" s="245">
        <v>0.76610690763450939</v>
      </c>
      <c r="G583" s="245">
        <v>0.77800981534386648</v>
      </c>
      <c r="H583" s="245">
        <v>0.79345107946348947</v>
      </c>
      <c r="I583" s="245">
        <v>4.4149382780107452E-2</v>
      </c>
      <c r="J583" s="246">
        <v>0.81531467651725242</v>
      </c>
      <c r="K583" s="246">
        <v>0.7019694405386645</v>
      </c>
      <c r="L583" s="245">
        <v>0.60949990490270822</v>
      </c>
      <c r="M583" s="245">
        <v>0.52645295391074276</v>
      </c>
      <c r="N583" s="245">
        <v>0.54207918623258122</v>
      </c>
      <c r="O583" s="246">
        <v>0.60574266217113937</v>
      </c>
      <c r="P583" s="246">
        <v>0.68438411648563713</v>
      </c>
      <c r="Q583" s="245">
        <v>0.79065487678980206</v>
      </c>
      <c r="R583" s="246">
        <v>0.6863069809360044</v>
      </c>
      <c r="S583" s="246">
        <v>0</v>
      </c>
      <c r="T583" s="246">
        <v>0</v>
      </c>
      <c r="U583" s="246">
        <v>0.72208788144979918</v>
      </c>
      <c r="V583" s="247"/>
    </row>
    <row r="584" spans="1:22">
      <c r="A584" s="242" t="s">
        <v>844</v>
      </c>
      <c r="B584" s="248"/>
      <c r="C584" s="249">
        <v>-1.0651759521400295</v>
      </c>
      <c r="D584" s="250">
        <v>-1.0837197879138838</v>
      </c>
      <c r="E584" s="250">
        <v>-2.0358829112060217</v>
      </c>
      <c r="F584" s="250">
        <v>-2.4720429728631088</v>
      </c>
      <c r="G584" s="250">
        <v>-1.9432105233578967</v>
      </c>
      <c r="H584" s="250">
        <v>-1.4310327604749817</v>
      </c>
      <c r="I584" s="250">
        <v>-0.45835677384282114</v>
      </c>
      <c r="J584" s="253">
        <v>-1.4803657980040241</v>
      </c>
      <c r="K584" s="253">
        <v>-1.4026688205269089</v>
      </c>
      <c r="L584" s="250">
        <v>-2.2121785251425385</v>
      </c>
      <c r="M584" s="250">
        <v>-1.890584106359483</v>
      </c>
      <c r="N584" s="250">
        <v>-1.719178216114714</v>
      </c>
      <c r="O584" s="253">
        <v>-1.93141119066772</v>
      </c>
      <c r="P584" s="253">
        <v>-1.4519790438198732</v>
      </c>
      <c r="Q584" s="250">
        <v>0.17401804246858221</v>
      </c>
      <c r="R584" s="253">
        <v>-1.4421366014257364</v>
      </c>
      <c r="S584" s="253">
        <v>0</v>
      </c>
      <c r="T584" s="253">
        <v>0</v>
      </c>
      <c r="U584" s="253">
        <v>-1.5392636652626135</v>
      </c>
      <c r="V584" s="247"/>
    </row>
    <row r="585" spans="1:22">
      <c r="A585" s="242" t="s">
        <v>845</v>
      </c>
      <c r="B585" s="219"/>
      <c r="C585" s="239">
        <v>1.1232570815401185E-2</v>
      </c>
      <c r="D585" s="240">
        <v>2.3948314729544631E-2</v>
      </c>
      <c r="E585" s="240">
        <v>2.0593333367062362E-2</v>
      </c>
      <c r="F585" s="240">
        <v>1.6709841564791651E-2</v>
      </c>
      <c r="G585" s="240">
        <v>1.9422615330222517E-2</v>
      </c>
      <c r="H585" s="240">
        <v>1.9548028218760786E-2</v>
      </c>
      <c r="I585" s="240">
        <v>7.0050527696216697E-2</v>
      </c>
      <c r="J585" s="241">
        <v>1.7300550120565136E-2</v>
      </c>
      <c r="K585" s="241">
        <v>3.8265148012138143E-2</v>
      </c>
      <c r="L585" s="240">
        <v>9.4968097517635755E-2</v>
      </c>
      <c r="M585" s="240">
        <v>0.1391037031972607</v>
      </c>
      <c r="N585" s="240">
        <v>9.6524599428542079E-2</v>
      </c>
      <c r="O585" s="241">
        <v>9.2152838699448694E-2</v>
      </c>
      <c r="P585" s="241">
        <v>9.4786698714282649E-3</v>
      </c>
      <c r="Q585" s="240">
        <v>8.280229488019375E-2</v>
      </c>
      <c r="R585" s="241">
        <v>1.0964875660523104E-2</v>
      </c>
      <c r="S585" s="241">
        <v>0</v>
      </c>
      <c r="T585" s="241">
        <v>0</v>
      </c>
      <c r="U585" s="241">
        <v>4.9833048391648239E-2</v>
      </c>
      <c r="V585" s="247"/>
    </row>
    <row r="586" spans="1:22">
      <c r="A586" s="242" t="s">
        <v>846</v>
      </c>
      <c r="B586" s="243"/>
      <c r="C586" s="244">
        <v>1.0609451614862868E-2</v>
      </c>
      <c r="D586" s="245">
        <v>2.4699139022955442E-2</v>
      </c>
      <c r="E586" s="245">
        <v>2.0890743471569787E-2</v>
      </c>
      <c r="F586" s="245">
        <v>1.6299198845690983E-2</v>
      </c>
      <c r="G586" s="245">
        <v>2.1656939255548024E-2</v>
      </c>
      <c r="H586" s="245">
        <v>1.7225637099972966E-2</v>
      </c>
      <c r="I586" s="245">
        <v>6.2019160467738053E-2</v>
      </c>
      <c r="J586" s="246">
        <v>1.7054022098452176E-2</v>
      </c>
      <c r="K586" s="246">
        <v>3.8433951353752646E-2</v>
      </c>
      <c r="L586" s="245">
        <v>0.10278796342754613</v>
      </c>
      <c r="M586" s="245">
        <v>0.14251239727518783</v>
      </c>
      <c r="N586" s="245">
        <v>9.5725203346720342E-2</v>
      </c>
      <c r="O586" s="246">
        <v>9.670073807432869E-2</v>
      </c>
      <c r="P586" s="246">
        <v>4.0512408351842241E-3</v>
      </c>
      <c r="Q586" s="245">
        <v>6.6901566497598638E-2</v>
      </c>
      <c r="R586" s="246">
        <v>5.188455404500949E-3</v>
      </c>
      <c r="S586" s="246">
        <v>0</v>
      </c>
      <c r="T586" s="246">
        <v>0</v>
      </c>
      <c r="U586" s="246">
        <v>5.1040914878969938E-2</v>
      </c>
      <c r="V586" s="247"/>
    </row>
    <row r="587" spans="1:22">
      <c r="A587" s="242" t="s">
        <v>847</v>
      </c>
      <c r="B587" s="248"/>
      <c r="C587" s="249">
        <v>-6.2311920053831696E-2</v>
      </c>
      <c r="D587" s="250">
        <v>7.5082429341081017E-2</v>
      </c>
      <c r="E587" s="250">
        <v>2.9741010450742497E-2</v>
      </c>
      <c r="F587" s="250">
        <v>-4.1064271910066716E-2</v>
      </c>
      <c r="G587" s="250">
        <v>0.22343239253255071</v>
      </c>
      <c r="H587" s="250">
        <v>-0.23223911187878199</v>
      </c>
      <c r="I587" s="250">
        <v>-0.8031367228478643</v>
      </c>
      <c r="J587" s="253">
        <v>-2.465280221129601E-2</v>
      </c>
      <c r="K587" s="253">
        <v>1.6880334161450267E-2</v>
      </c>
      <c r="L587" s="250">
        <v>0.78198659099103784</v>
      </c>
      <c r="M587" s="250">
        <v>0.34086940779271269</v>
      </c>
      <c r="N587" s="250">
        <v>-7.9939608182173771E-2</v>
      </c>
      <c r="O587" s="253">
        <v>0.45478993748799962</v>
      </c>
      <c r="P587" s="253">
        <v>-0.54274290362440414</v>
      </c>
      <c r="Q587" s="250">
        <v>-1.5900728382595111</v>
      </c>
      <c r="R587" s="253">
        <v>-0.57764202560221545</v>
      </c>
      <c r="S587" s="253">
        <v>0</v>
      </c>
      <c r="T587" s="253">
        <v>0</v>
      </c>
      <c r="U587" s="253">
        <v>0.12078664873216988</v>
      </c>
      <c r="V587" s="247"/>
    </row>
    <row r="588" spans="1:22">
      <c r="A588" s="242" t="s">
        <v>848</v>
      </c>
      <c r="B588" s="219"/>
      <c r="C588" s="239">
        <v>0.1024511465554083</v>
      </c>
      <c r="D588" s="240">
        <v>0.13159365995282307</v>
      </c>
      <c r="E588" s="240">
        <v>0.16033118999901547</v>
      </c>
      <c r="F588" s="240">
        <v>0.18790257327073473</v>
      </c>
      <c r="G588" s="240">
        <v>0.164387226627597</v>
      </c>
      <c r="H588" s="240">
        <v>0.16806233650994257</v>
      </c>
      <c r="I588" s="240">
        <v>0.88069220051009833</v>
      </c>
      <c r="J588" s="241">
        <v>0.14474603709072595</v>
      </c>
      <c r="K588" s="241">
        <v>0.24415876227454031</v>
      </c>
      <c r="L588" s="240">
        <v>0.27030392583864121</v>
      </c>
      <c r="M588" s="240">
        <v>0.29391257106067159</v>
      </c>
      <c r="N588" s="240">
        <v>0.32195055605501199</v>
      </c>
      <c r="O588" s="241">
        <v>0.27435395202819118</v>
      </c>
      <c r="P588" s="241">
        <v>0.2868285982686099</v>
      </c>
      <c r="Q588" s="240">
        <v>0.12828300875469001</v>
      </c>
      <c r="R588" s="241">
        <v>0.28361501774878595</v>
      </c>
      <c r="S588" s="241">
        <v>0</v>
      </c>
      <c r="T588" s="241">
        <v>0</v>
      </c>
      <c r="U588" s="241">
        <v>0.20466403075841852</v>
      </c>
      <c r="V588" s="247"/>
    </row>
    <row r="589" spans="1:22">
      <c r="A589" s="242" t="s">
        <v>849</v>
      </c>
      <c r="B589" s="243"/>
      <c r="C589" s="244">
        <v>0.11346583516961632</v>
      </c>
      <c r="D589" s="245">
        <v>0.14171964447369889</v>
      </c>
      <c r="E589" s="245">
        <v>0.17980137597338317</v>
      </c>
      <c r="F589" s="245">
        <v>0.21381771917933445</v>
      </c>
      <c r="G589" s="245">
        <v>0.18196017614625762</v>
      </c>
      <c r="H589" s="245">
        <v>0.18451449553707902</v>
      </c>
      <c r="I589" s="245">
        <v>0.8924882900391039</v>
      </c>
      <c r="J589" s="246">
        <v>0.15959998519537197</v>
      </c>
      <c r="K589" s="246">
        <v>0.25660020651974219</v>
      </c>
      <c r="L589" s="245">
        <v>0.28539104350108263</v>
      </c>
      <c r="M589" s="245">
        <v>0.30962155722138568</v>
      </c>
      <c r="N589" s="245">
        <v>0.34179554962148484</v>
      </c>
      <c r="O589" s="246">
        <v>0.28942899607245948</v>
      </c>
      <c r="P589" s="246">
        <v>0.30685708097777997</v>
      </c>
      <c r="Q589" s="245">
        <v>0.14244355671259931</v>
      </c>
      <c r="R589" s="246">
        <v>0.30388218063770284</v>
      </c>
      <c r="S589" s="246">
        <v>0</v>
      </c>
      <c r="T589" s="246">
        <v>0</v>
      </c>
      <c r="U589" s="246">
        <v>0.21887926560193929</v>
      </c>
      <c r="V589" s="247"/>
    </row>
    <row r="590" spans="1:22">
      <c r="A590" s="242" t="s">
        <v>850</v>
      </c>
      <c r="B590" s="248"/>
      <c r="C590" s="249">
        <v>1.1014688614208026</v>
      </c>
      <c r="D590" s="250">
        <v>1.0125984520875819</v>
      </c>
      <c r="E590" s="250">
        <v>1.9470185974367697</v>
      </c>
      <c r="F590" s="250">
        <v>2.5915145908599726</v>
      </c>
      <c r="G590" s="250">
        <v>1.7572949518660619</v>
      </c>
      <c r="H590" s="250">
        <v>1.6452159027136455</v>
      </c>
      <c r="I590" s="250">
        <v>1.1796089529005571</v>
      </c>
      <c r="J590" s="253">
        <v>1.485394810464602</v>
      </c>
      <c r="K590" s="253">
        <v>1.2441444245201883</v>
      </c>
      <c r="L590" s="250">
        <v>1.5087117662441418</v>
      </c>
      <c r="M590" s="250">
        <v>1.5708986160714089</v>
      </c>
      <c r="N590" s="250">
        <v>1.9844993566472846</v>
      </c>
      <c r="O590" s="253">
        <v>1.5075044044268293</v>
      </c>
      <c r="P590" s="253">
        <v>2.0028482709170072</v>
      </c>
      <c r="Q590" s="250">
        <v>1.4160547957909304</v>
      </c>
      <c r="R590" s="253">
        <v>2.0267162888916888</v>
      </c>
      <c r="S590" s="253">
        <v>0</v>
      </c>
      <c r="T590" s="253">
        <v>0</v>
      </c>
      <c r="U590" s="253">
        <v>1.4215234843520774</v>
      </c>
      <c r="V590" s="247"/>
    </row>
    <row r="591" spans="1:22">
      <c r="A591" s="242" t="s">
        <v>851</v>
      </c>
      <c r="B591" s="219"/>
      <c r="C591" s="239">
        <v>2.8131172110870059E-3</v>
      </c>
      <c r="D591" s="240">
        <v>2.9428885332925966E-3</v>
      </c>
      <c r="E591" s="240">
        <v>3.3230643546576051E-3</v>
      </c>
      <c r="F591" s="240">
        <v>3.9102048146194618E-3</v>
      </c>
      <c r="G591" s="240">
        <v>1.0345915504106969E-2</v>
      </c>
      <c r="H591" s="240">
        <v>4.5984370767230068E-3</v>
      </c>
      <c r="I591" s="240">
        <v>5.2432127514934115E-4</v>
      </c>
      <c r="J591" s="241">
        <v>3.4287564945716669E-3</v>
      </c>
      <c r="K591" s="241">
        <v>2.1621376966719593E-4</v>
      </c>
      <c r="L591" s="240">
        <v>5.5064778517351597E-4</v>
      </c>
      <c r="M591" s="240">
        <v>1.6891419338368446E-2</v>
      </c>
      <c r="N591" s="240">
        <v>1.959477167360596E-2</v>
      </c>
      <c r="O591" s="241">
        <v>5.6696591700302933E-3</v>
      </c>
      <c r="P591" s="241">
        <v>4.7888249361260704E-3</v>
      </c>
      <c r="Q591" s="240">
        <v>0</v>
      </c>
      <c r="R591" s="241">
        <v>4.6917596404293356E-3</v>
      </c>
      <c r="S591" s="241">
        <v>0</v>
      </c>
      <c r="T591" s="241">
        <v>0</v>
      </c>
      <c r="U591" s="241">
        <v>4.4374836130468545E-3</v>
      </c>
      <c r="V591" s="247"/>
    </row>
    <row r="592" spans="1:22">
      <c r="A592" s="242" t="s">
        <v>852</v>
      </c>
      <c r="B592" s="243"/>
      <c r="C592" s="244">
        <v>2.9759905810333906E-3</v>
      </c>
      <c r="D592" s="245">
        <v>2.7883765724197999E-3</v>
      </c>
      <c r="E592" s="245">
        <v>3.5689381003338465E-3</v>
      </c>
      <c r="F592" s="245">
        <v>3.3014315878071962E-3</v>
      </c>
      <c r="G592" s="245">
        <v>1.025509550057685E-2</v>
      </c>
      <c r="H592" s="245">
        <v>4.7759444389705343E-3</v>
      </c>
      <c r="I592" s="245">
        <v>1.3431667130505334E-3</v>
      </c>
      <c r="J592" s="246">
        <v>3.5145425769801762E-3</v>
      </c>
      <c r="K592" s="246">
        <v>1.5026817450324229E-4</v>
      </c>
      <c r="L592" s="245">
        <v>4.5580420918175414E-4</v>
      </c>
      <c r="M592" s="245">
        <v>1.6304719202254583E-2</v>
      </c>
      <c r="N592" s="245">
        <v>1.8386827100262442E-2</v>
      </c>
      <c r="O592" s="246">
        <v>5.355066352162834E-3</v>
      </c>
      <c r="P592" s="246">
        <v>4.7075617013987367E-3</v>
      </c>
      <c r="Q592" s="245">
        <v>0</v>
      </c>
      <c r="R592" s="246">
        <v>4.6223830217918373E-3</v>
      </c>
      <c r="S592" s="246">
        <v>0</v>
      </c>
      <c r="T592" s="246">
        <v>0</v>
      </c>
      <c r="U592" s="246">
        <v>4.3326920184220234E-3</v>
      </c>
      <c r="V592" s="247"/>
    </row>
    <row r="593" spans="1:22">
      <c r="A593" s="242" t="s">
        <v>853</v>
      </c>
      <c r="B593" s="248"/>
      <c r="C593" s="249">
        <v>1.6287336994638475E-2</v>
      </c>
      <c r="D593" s="250">
        <v>-1.5451196087279667E-2</v>
      </c>
      <c r="E593" s="250">
        <v>2.4587374567624144E-2</v>
      </c>
      <c r="F593" s="250">
        <v>-6.0877322681226552E-2</v>
      </c>
      <c r="G593" s="250">
        <v>-9.0820003530119042E-3</v>
      </c>
      <c r="H593" s="250">
        <v>1.7750736224752747E-2</v>
      </c>
      <c r="I593" s="250">
        <v>8.1884543790119224E-2</v>
      </c>
      <c r="J593" s="253">
        <v>8.5786082408509292E-3</v>
      </c>
      <c r="K593" s="253">
        <v>-6.5945595163953638E-3</v>
      </c>
      <c r="L593" s="250">
        <v>-9.4843575991761832E-3</v>
      </c>
      <c r="M593" s="250">
        <v>-5.8670013611386226E-2</v>
      </c>
      <c r="N593" s="250">
        <v>-0.12079445733435175</v>
      </c>
      <c r="O593" s="253">
        <v>-3.1459281786745938E-2</v>
      </c>
      <c r="P593" s="253">
        <v>-8.1263234727333745E-3</v>
      </c>
      <c r="Q593" s="250">
        <v>0</v>
      </c>
      <c r="R593" s="253">
        <v>-6.9376618637498333E-3</v>
      </c>
      <c r="S593" s="253">
        <v>0</v>
      </c>
      <c r="T593" s="253">
        <v>0</v>
      </c>
      <c r="U593" s="253">
        <v>-1.0479159462483106E-2</v>
      </c>
      <c r="V593" s="247"/>
    </row>
    <row r="594" spans="1:22">
      <c r="A594" s="242" t="s">
        <v>854</v>
      </c>
      <c r="B594" s="219"/>
      <c r="C594" s="239">
        <v>2.1605275723557841E-3</v>
      </c>
      <c r="D594" s="240">
        <v>5.6400687006657986E-3</v>
      </c>
      <c r="E594" s="240">
        <v>6.8094250280611663E-3</v>
      </c>
      <c r="F594" s="240">
        <v>4.1857606712701969E-4</v>
      </c>
      <c r="G594" s="240">
        <v>8.2930971031817159E-3</v>
      </c>
      <c r="H594" s="240">
        <v>2.9791126334320565E-5</v>
      </c>
      <c r="I594" s="240">
        <v>0</v>
      </c>
      <c r="J594" s="241">
        <v>3.9543931879341982E-3</v>
      </c>
      <c r="K594" s="241">
        <v>1.1009470591257502E-3</v>
      </c>
      <c r="L594" s="240">
        <v>2.520182582971567E-3</v>
      </c>
      <c r="M594" s="240">
        <v>4.6107803085757276E-3</v>
      </c>
      <c r="N594" s="240">
        <v>2.6198049636455651E-3</v>
      </c>
      <c r="O594" s="241">
        <v>2.6633443203043362E-3</v>
      </c>
      <c r="P594" s="241">
        <v>0</v>
      </c>
      <c r="Q594" s="240">
        <v>0</v>
      </c>
      <c r="R594" s="241">
        <v>0</v>
      </c>
      <c r="S594" s="241">
        <v>0</v>
      </c>
      <c r="T594" s="241">
        <v>0</v>
      </c>
      <c r="U594" s="241">
        <v>3.2959814999452214E-3</v>
      </c>
      <c r="V594" s="247"/>
    </row>
    <row r="595" spans="1:22">
      <c r="A595" s="242" t="s">
        <v>855</v>
      </c>
      <c r="B595" s="243"/>
      <c r="C595" s="244">
        <v>2.2985322630898826E-3</v>
      </c>
      <c r="D595" s="245">
        <v>5.5269957085719024E-3</v>
      </c>
      <c r="E595" s="245">
        <v>7.1740426040606108E-3</v>
      </c>
      <c r="F595" s="245">
        <v>2.7183687092698186E-4</v>
      </c>
      <c r="G595" s="245">
        <v>8.0457710858817914E-3</v>
      </c>
      <c r="H595" s="245">
        <v>4.5475560675766832E-6</v>
      </c>
      <c r="I595" s="245">
        <v>0</v>
      </c>
      <c r="J595" s="246">
        <v>4.0644351949954321E-3</v>
      </c>
      <c r="K595" s="246">
        <v>2.5062063778106634E-3</v>
      </c>
      <c r="L595" s="245">
        <v>1.8276546870395368E-3</v>
      </c>
      <c r="M595" s="245">
        <v>4.9633169569005368E-3</v>
      </c>
      <c r="N595" s="245">
        <v>1.9705459394317444E-3</v>
      </c>
      <c r="O595" s="246">
        <v>2.6469166249183836E-3</v>
      </c>
      <c r="P595" s="246">
        <v>0</v>
      </c>
      <c r="Q595" s="245">
        <v>0</v>
      </c>
      <c r="R595" s="246">
        <v>0</v>
      </c>
      <c r="S595" s="246">
        <v>0</v>
      </c>
      <c r="T595" s="246">
        <v>0</v>
      </c>
      <c r="U595" s="246">
        <v>3.3582008893527659E-3</v>
      </c>
      <c r="V595" s="247"/>
    </row>
    <row r="596" spans="1:22">
      <c r="A596" s="242" t="s">
        <v>856</v>
      </c>
      <c r="B596" s="248"/>
      <c r="C596" s="249">
        <v>1.3800469073409856E-2</v>
      </c>
      <c r="D596" s="250">
        <v>-1.1307299209389627E-2</v>
      </c>
      <c r="E596" s="250">
        <v>3.6461757599944453E-2</v>
      </c>
      <c r="F596" s="250">
        <v>-1.4673919620003783E-2</v>
      </c>
      <c r="G596" s="250">
        <v>-2.4732601729992448E-2</v>
      </c>
      <c r="H596" s="250">
        <v>-2.5243570266743885E-3</v>
      </c>
      <c r="I596" s="250">
        <v>0</v>
      </c>
      <c r="J596" s="253">
        <v>1.1004200706123384E-2</v>
      </c>
      <c r="K596" s="253">
        <v>0.14052593186849133</v>
      </c>
      <c r="L596" s="250">
        <v>-6.9252789593203024E-2</v>
      </c>
      <c r="M596" s="250">
        <v>3.5253664832480928E-2</v>
      </c>
      <c r="N596" s="250">
        <v>-6.4925902421382076E-2</v>
      </c>
      <c r="O596" s="253">
        <v>-1.6427695385952661E-3</v>
      </c>
      <c r="P596" s="253">
        <v>0</v>
      </c>
      <c r="Q596" s="250">
        <v>0</v>
      </c>
      <c r="R596" s="253">
        <v>0</v>
      </c>
      <c r="S596" s="253">
        <v>0</v>
      </c>
      <c r="T596" s="253">
        <v>0</v>
      </c>
      <c r="U596" s="253">
        <v>6.2219389407544481E-3</v>
      </c>
      <c r="V596" s="247"/>
    </row>
    <row r="597" spans="1:22">
      <c r="A597" s="242" t="s">
        <v>857</v>
      </c>
      <c r="B597" s="219"/>
      <c r="C597" s="239">
        <v>4.0707794204555533E-4</v>
      </c>
      <c r="D597" s="240">
        <v>1.1037159128366864E-3</v>
      </c>
      <c r="E597" s="240">
        <v>4.3841443264087889E-4</v>
      </c>
      <c r="F597" s="240">
        <v>2.3146691958661781E-4</v>
      </c>
      <c r="G597" s="240">
        <v>1.0922485744633805E-4</v>
      </c>
      <c r="H597" s="240">
        <v>0</v>
      </c>
      <c r="I597" s="240">
        <v>0</v>
      </c>
      <c r="J597" s="241">
        <v>4.5192860891051911E-4</v>
      </c>
      <c r="K597" s="241">
        <v>2.6280014059501701E-4</v>
      </c>
      <c r="L597" s="240">
        <v>3.5456121444325517E-5</v>
      </c>
      <c r="M597" s="240">
        <v>1.2273112078603116E-4</v>
      </c>
      <c r="N597" s="240">
        <v>3.9299485466061757E-5</v>
      </c>
      <c r="O597" s="241">
        <v>1.0343170420897758E-4</v>
      </c>
      <c r="P597" s="241">
        <v>0</v>
      </c>
      <c r="Q597" s="240">
        <v>0</v>
      </c>
      <c r="R597" s="241">
        <v>0</v>
      </c>
      <c r="S597" s="241">
        <v>0</v>
      </c>
      <c r="T597" s="241">
        <v>0</v>
      </c>
      <c r="U597" s="241">
        <v>2.8893763451581312E-4</v>
      </c>
      <c r="V597" s="247"/>
    </row>
    <row r="598" spans="1:22">
      <c r="A598" s="242" t="s">
        <v>858</v>
      </c>
      <c r="B598" s="243"/>
      <c r="C598" s="244">
        <v>3.6638998909566096E-4</v>
      </c>
      <c r="D598" s="245">
        <v>1.3316899306554735E-3</v>
      </c>
      <c r="E598" s="245">
        <v>4.1915614415032965E-4</v>
      </c>
      <c r="F598" s="245">
        <v>2.0290588173100743E-4</v>
      </c>
      <c r="G598" s="245">
        <v>7.220266786927224E-5</v>
      </c>
      <c r="H598" s="245">
        <v>2.8295904420477139E-5</v>
      </c>
      <c r="I598" s="245">
        <v>0</v>
      </c>
      <c r="J598" s="246">
        <v>4.5233841694785758E-4</v>
      </c>
      <c r="K598" s="246">
        <v>3.3992703552675196E-4</v>
      </c>
      <c r="L598" s="245">
        <v>3.7629272441576869E-5</v>
      </c>
      <c r="M598" s="245">
        <v>1.4505543352858651E-4</v>
      </c>
      <c r="N598" s="245">
        <v>4.268775951937037E-5</v>
      </c>
      <c r="O598" s="246">
        <v>1.2562070499118198E-4</v>
      </c>
      <c r="P598" s="246">
        <v>0</v>
      </c>
      <c r="Q598" s="245">
        <v>0</v>
      </c>
      <c r="R598" s="246">
        <v>0</v>
      </c>
      <c r="S598" s="246">
        <v>0</v>
      </c>
      <c r="T598" s="246">
        <v>0</v>
      </c>
      <c r="U598" s="246">
        <v>3.0104516151683187E-4</v>
      </c>
      <c r="V598" s="247"/>
    </row>
    <row r="599" spans="1:22" ht="15.75" thickBot="1">
      <c r="A599" s="242" t="s">
        <v>859</v>
      </c>
      <c r="B599" s="257"/>
      <c r="C599" s="258">
        <v>-4.0687952949894366E-3</v>
      </c>
      <c r="D599" s="259">
        <v>2.2797401781878716E-2</v>
      </c>
      <c r="E599" s="259">
        <v>-1.9258288490549237E-3</v>
      </c>
      <c r="F599" s="259">
        <v>-2.8561037855610386E-3</v>
      </c>
      <c r="G599" s="259">
        <v>-3.7022189577065809E-3</v>
      </c>
      <c r="H599" s="259">
        <v>0</v>
      </c>
      <c r="I599" s="259">
        <v>0</v>
      </c>
      <c r="J599" s="260">
        <v>4.0980803733847194E-5</v>
      </c>
      <c r="K599" s="260">
        <v>7.7126894931734951E-3</v>
      </c>
      <c r="L599" s="259">
        <v>2.1731509972513518E-4</v>
      </c>
      <c r="M599" s="259">
        <v>2.2324312742555349E-3</v>
      </c>
      <c r="N599" s="259">
        <v>3.3882740533086131E-4</v>
      </c>
      <c r="O599" s="260">
        <v>2.2189000782204395E-3</v>
      </c>
      <c r="P599" s="260">
        <v>0</v>
      </c>
      <c r="Q599" s="259">
        <v>0</v>
      </c>
      <c r="R599" s="260">
        <v>0</v>
      </c>
      <c r="S599" s="260">
        <v>0</v>
      </c>
      <c r="T599" s="260">
        <v>0</v>
      </c>
      <c r="U599" s="260">
        <v>1.210752700101875E-3</v>
      </c>
      <c r="V599" s="247"/>
    </row>
    <row r="600" spans="1:22" ht="15.75" thickTop="1">
      <c r="A600" s="242" t="s">
        <v>860</v>
      </c>
      <c r="B600" s="243"/>
      <c r="C600" s="244">
        <v>0.77665313688894611</v>
      </c>
      <c r="D600" s="245">
        <v>0.70614359659881543</v>
      </c>
      <c r="E600" s="245">
        <v>0.50462692774186213</v>
      </c>
      <c r="F600" s="245">
        <v>0.57361535473239433</v>
      </c>
      <c r="G600" s="245">
        <v>0.42260338201043118</v>
      </c>
      <c r="H600" s="245">
        <v>0.46494059473937227</v>
      </c>
      <c r="I600" s="245">
        <v>0.28221460068593829</v>
      </c>
      <c r="J600" s="246">
        <v>0.666783722475492</v>
      </c>
      <c r="K600" s="246">
        <v>0</v>
      </c>
      <c r="L600" s="245">
        <v>0</v>
      </c>
      <c r="M600" s="245">
        <v>0</v>
      </c>
      <c r="N600" s="245">
        <v>0.10656904616636161</v>
      </c>
      <c r="O600" s="246">
        <v>0.1058728448275862</v>
      </c>
      <c r="P600" s="246">
        <v>0</v>
      </c>
      <c r="Q600" s="245">
        <v>0</v>
      </c>
      <c r="R600" s="246">
        <v>0</v>
      </c>
      <c r="S600" s="246">
        <v>0</v>
      </c>
      <c r="T600" s="246">
        <v>0</v>
      </c>
      <c r="U600" s="246">
        <v>0.66583960679282883</v>
      </c>
      <c r="V600" s="247"/>
    </row>
    <row r="601" spans="1:22">
      <c r="A601" s="242" t="s">
        <v>861</v>
      </c>
      <c r="B601" s="243"/>
      <c r="C601" s="244">
        <v>0.75800495956845237</v>
      </c>
      <c r="D601" s="245">
        <v>0.68943027314414573</v>
      </c>
      <c r="E601" s="245">
        <v>0.45570372041876955</v>
      </c>
      <c r="F601" s="245">
        <v>0.56245297008039685</v>
      </c>
      <c r="G601" s="245">
        <v>0.37752461955459637</v>
      </c>
      <c r="H601" s="245">
        <v>0.49465084613888349</v>
      </c>
      <c r="I601" s="245">
        <v>0.10630743607328304</v>
      </c>
      <c r="J601" s="246">
        <v>0.63997948995597509</v>
      </c>
      <c r="K601" s="246">
        <v>0</v>
      </c>
      <c r="L601" s="245">
        <v>0</v>
      </c>
      <c r="M601" s="245">
        <v>0</v>
      </c>
      <c r="N601" s="245">
        <v>0.13947449768160741</v>
      </c>
      <c r="O601" s="246">
        <v>0.13947449768160741</v>
      </c>
      <c r="P601" s="246">
        <v>0</v>
      </c>
      <c r="Q601" s="245">
        <v>0</v>
      </c>
      <c r="R601" s="246">
        <v>0</v>
      </c>
      <c r="S601" s="246">
        <v>0</v>
      </c>
      <c r="T601" s="246">
        <v>0</v>
      </c>
      <c r="U601" s="246">
        <v>0.63905823405451656</v>
      </c>
      <c r="V601" s="247"/>
    </row>
    <row r="602" spans="1:22">
      <c r="A602" s="242" t="s">
        <v>862</v>
      </c>
      <c r="B602" s="248"/>
      <c r="C602" s="249">
        <v>-1.8648177320493731</v>
      </c>
      <c r="D602" s="250">
        <v>-1.6713323454669693</v>
      </c>
      <c r="E602" s="250">
        <v>-4.8923207323092575</v>
      </c>
      <c r="F602" s="250">
        <v>-1.1162384651997481</v>
      </c>
      <c r="G602" s="250">
        <v>-4.5078762455834811</v>
      </c>
      <c r="H602" s="250">
        <v>2.9710251399511223</v>
      </c>
      <c r="I602" s="250">
        <v>-17.590716461265526</v>
      </c>
      <c r="J602" s="253">
        <v>-2.6804232519516913</v>
      </c>
      <c r="K602" s="253">
        <v>0</v>
      </c>
      <c r="L602" s="250">
        <v>0</v>
      </c>
      <c r="M602" s="250">
        <v>0</v>
      </c>
      <c r="N602" s="250">
        <v>3.2905451515245807</v>
      </c>
      <c r="O602" s="253">
        <v>3.3601652854021209</v>
      </c>
      <c r="P602" s="253">
        <v>0</v>
      </c>
      <c r="Q602" s="250">
        <v>0</v>
      </c>
      <c r="R602" s="253">
        <v>0</v>
      </c>
      <c r="S602" s="253">
        <v>0</v>
      </c>
      <c r="T602" s="253">
        <v>0</v>
      </c>
      <c r="U602" s="253">
        <v>-2.678137273831227</v>
      </c>
      <c r="V602" s="247"/>
    </row>
    <row r="603" spans="1:22">
      <c r="A603" s="242" t="s">
        <v>863</v>
      </c>
      <c r="B603" s="219"/>
      <c r="C603" s="239">
        <v>6.266673599886971E-2</v>
      </c>
      <c r="D603" s="240">
        <v>4.2292276611110936E-2</v>
      </c>
      <c r="E603" s="240">
        <v>4.2166028579022435E-2</v>
      </c>
      <c r="F603" s="240">
        <v>5.4916387515286859E-2</v>
      </c>
      <c r="G603" s="240">
        <v>2.7891031636986946E-2</v>
      </c>
      <c r="H603" s="240">
        <v>7.4170730032278006E-3</v>
      </c>
      <c r="I603" s="240">
        <v>2.6570941948557962E-2</v>
      </c>
      <c r="J603" s="241">
        <v>5.2815071301153038E-2</v>
      </c>
      <c r="K603" s="241">
        <v>0</v>
      </c>
      <c r="L603" s="240">
        <v>0</v>
      </c>
      <c r="M603" s="240">
        <v>0</v>
      </c>
      <c r="N603" s="240">
        <v>0.61426343976679543</v>
      </c>
      <c r="O603" s="241">
        <v>0.61025053879310343</v>
      </c>
      <c r="P603" s="241">
        <v>0</v>
      </c>
      <c r="Q603" s="240">
        <v>0</v>
      </c>
      <c r="R603" s="241">
        <v>0</v>
      </c>
      <c r="S603" s="241">
        <v>0</v>
      </c>
      <c r="T603" s="241">
        <v>0</v>
      </c>
      <c r="U603" s="241">
        <v>5.3753337232344642E-2</v>
      </c>
      <c r="V603" s="247"/>
    </row>
    <row r="604" spans="1:22">
      <c r="A604" s="242" t="s">
        <v>864</v>
      </c>
      <c r="B604" s="243"/>
      <c r="C604" s="244">
        <v>6.5580977534755669E-2</v>
      </c>
      <c r="D604" s="245">
        <v>4.237325624645652E-2</v>
      </c>
      <c r="E604" s="245">
        <v>3.989676236285325E-2</v>
      </c>
      <c r="F604" s="245">
        <v>5.3241590313392165E-2</v>
      </c>
      <c r="G604" s="245">
        <v>3.089446091884681E-2</v>
      </c>
      <c r="H604" s="245">
        <v>5.6409258899046879E-3</v>
      </c>
      <c r="I604" s="245">
        <v>2.9011462721661604E-2</v>
      </c>
      <c r="J604" s="246">
        <v>5.4075986343130267E-2</v>
      </c>
      <c r="K604" s="246">
        <v>0</v>
      </c>
      <c r="L604" s="245">
        <v>0</v>
      </c>
      <c r="M604" s="245">
        <v>0</v>
      </c>
      <c r="N604" s="245">
        <v>0.60649149922720247</v>
      </c>
      <c r="O604" s="246">
        <v>0.60649149922720247</v>
      </c>
      <c r="P604" s="246">
        <v>0</v>
      </c>
      <c r="Q604" s="245">
        <v>0</v>
      </c>
      <c r="R604" s="246">
        <v>0</v>
      </c>
      <c r="S604" s="246">
        <v>0</v>
      </c>
      <c r="T604" s="246">
        <v>0</v>
      </c>
      <c r="U604" s="246">
        <v>5.5092791488248055E-2</v>
      </c>
      <c r="V604" s="247"/>
    </row>
    <row r="605" spans="1:22">
      <c r="A605" s="242" t="s">
        <v>865</v>
      </c>
      <c r="B605" s="248"/>
      <c r="C605" s="249">
        <v>0.29142415358859586</v>
      </c>
      <c r="D605" s="250">
        <v>8.0979635345583556E-3</v>
      </c>
      <c r="E605" s="250">
        <v>-0.22692662161691857</v>
      </c>
      <c r="F605" s="250">
        <v>-0.16747972018946941</v>
      </c>
      <c r="G605" s="250">
        <v>0.3003429281859864</v>
      </c>
      <c r="H605" s="250">
        <v>-0.17761471133231127</v>
      </c>
      <c r="I605" s="250">
        <v>0.24405207731036416</v>
      </c>
      <c r="J605" s="253">
        <v>0.12609150419772286</v>
      </c>
      <c r="K605" s="253">
        <v>0</v>
      </c>
      <c r="L605" s="250">
        <v>0</v>
      </c>
      <c r="M605" s="250">
        <v>0</v>
      </c>
      <c r="N605" s="250">
        <v>-0.77719405395929586</v>
      </c>
      <c r="O605" s="253">
        <v>-0.37590395659009568</v>
      </c>
      <c r="P605" s="253">
        <v>0</v>
      </c>
      <c r="Q605" s="250">
        <v>0</v>
      </c>
      <c r="R605" s="253">
        <v>0</v>
      </c>
      <c r="S605" s="253">
        <v>0</v>
      </c>
      <c r="T605" s="253">
        <v>0</v>
      </c>
      <c r="U605" s="253">
        <v>0.13394542559034134</v>
      </c>
      <c r="V605" s="247"/>
    </row>
    <row r="606" spans="1:22">
      <c r="A606" s="242" t="s">
        <v>866</v>
      </c>
      <c r="B606" s="219"/>
      <c r="C606" s="239">
        <v>0.14726030410095786</v>
      </c>
      <c r="D606" s="240">
        <v>0.24120156994260347</v>
      </c>
      <c r="E606" s="240">
        <v>0.43946076923853267</v>
      </c>
      <c r="F606" s="240">
        <v>0.36650335106863713</v>
      </c>
      <c r="G606" s="240">
        <v>0.51350950685061048</v>
      </c>
      <c r="H606" s="240">
        <v>0.52764233225739987</v>
      </c>
      <c r="I606" s="240">
        <v>0.68389844913957742</v>
      </c>
      <c r="J606" s="241">
        <v>0.26752292685132145</v>
      </c>
      <c r="K606" s="241">
        <v>0</v>
      </c>
      <c r="L606" s="240">
        <v>0</v>
      </c>
      <c r="M606" s="240">
        <v>0</v>
      </c>
      <c r="N606" s="240">
        <v>0.27916751406684293</v>
      </c>
      <c r="O606" s="241">
        <v>0.27734375</v>
      </c>
      <c r="P606" s="241">
        <v>0</v>
      </c>
      <c r="Q606" s="240">
        <v>0</v>
      </c>
      <c r="R606" s="241">
        <v>0</v>
      </c>
      <c r="S606" s="241">
        <v>0</v>
      </c>
      <c r="T606" s="241">
        <v>0</v>
      </c>
      <c r="U606" s="241">
        <v>0.26753945709439714</v>
      </c>
      <c r="V606" s="247"/>
    </row>
    <row r="607" spans="1:22">
      <c r="A607" s="242" t="s">
        <v>867</v>
      </c>
      <c r="B607" s="243"/>
      <c r="C607" s="244">
        <v>0.16532966254686049</v>
      </c>
      <c r="D607" s="245">
        <v>0.28167704421087392</v>
      </c>
      <c r="E607" s="245">
        <v>0.4923725309042043</v>
      </c>
      <c r="F607" s="245">
        <v>0.39215079945992459</v>
      </c>
      <c r="G607" s="245">
        <v>0.56444630430534193</v>
      </c>
      <c r="H607" s="245">
        <v>0.54302016468910075</v>
      </c>
      <c r="I607" s="245">
        <v>0.86420691682178896</v>
      </c>
      <c r="J607" s="246">
        <v>0.29905892052314625</v>
      </c>
      <c r="K607" s="246">
        <v>0</v>
      </c>
      <c r="L607" s="245">
        <v>0</v>
      </c>
      <c r="M607" s="245">
        <v>0</v>
      </c>
      <c r="N607" s="245">
        <v>0.25403400309119012</v>
      </c>
      <c r="O607" s="246">
        <v>0.25403400309119012</v>
      </c>
      <c r="P607" s="246">
        <v>0</v>
      </c>
      <c r="Q607" s="245">
        <v>0</v>
      </c>
      <c r="R607" s="246">
        <v>0</v>
      </c>
      <c r="S607" s="246">
        <v>0</v>
      </c>
      <c r="T607" s="246">
        <v>0</v>
      </c>
      <c r="U607" s="246">
        <v>0.29897604528406346</v>
      </c>
      <c r="V607" s="247"/>
    </row>
    <row r="608" spans="1:22">
      <c r="A608" s="242" t="s">
        <v>868</v>
      </c>
      <c r="B608" s="248"/>
      <c r="C608" s="249">
        <v>1.8069358445902628</v>
      </c>
      <c r="D608" s="250">
        <v>4.0475474268270446</v>
      </c>
      <c r="E608" s="250">
        <v>5.2911761665671628</v>
      </c>
      <c r="F608" s="250">
        <v>2.5647448391287462</v>
      </c>
      <c r="G608" s="250">
        <v>5.0936797454731453</v>
      </c>
      <c r="H608" s="250">
        <v>1.5377832431700877</v>
      </c>
      <c r="I608" s="250">
        <v>18.030846768221153</v>
      </c>
      <c r="J608" s="253">
        <v>3.1535993671824802</v>
      </c>
      <c r="K608" s="253">
        <v>0</v>
      </c>
      <c r="L608" s="250">
        <v>0</v>
      </c>
      <c r="M608" s="250">
        <v>0</v>
      </c>
      <c r="N608" s="250">
        <v>-2.5133510975652804</v>
      </c>
      <c r="O608" s="253">
        <v>-2.3309746908809883</v>
      </c>
      <c r="P608" s="253">
        <v>0</v>
      </c>
      <c r="Q608" s="250">
        <v>0</v>
      </c>
      <c r="R608" s="253">
        <v>0</v>
      </c>
      <c r="S608" s="253">
        <v>0</v>
      </c>
      <c r="T608" s="253">
        <v>0</v>
      </c>
      <c r="U608" s="253">
        <v>3.1436588189666326</v>
      </c>
      <c r="V608" s="247"/>
    </row>
    <row r="609" spans="1:22">
      <c r="A609" s="242" t="s">
        <v>869</v>
      </c>
      <c r="B609" s="219"/>
      <c r="C609" s="239">
        <v>8.1184301227764533E-3</v>
      </c>
      <c r="D609" s="240">
        <v>3.1102306922138577E-3</v>
      </c>
      <c r="E609" s="240">
        <v>6.3768186512308291E-3</v>
      </c>
      <c r="F609" s="240">
        <v>7.8893497102142818E-3</v>
      </c>
      <c r="G609" s="240">
        <v>1.1515344095309276E-2</v>
      </c>
      <c r="H609" s="240">
        <v>0</v>
      </c>
      <c r="I609" s="240">
        <v>7.3160082259263329E-3</v>
      </c>
      <c r="J609" s="241">
        <v>7.1366331924288566E-3</v>
      </c>
      <c r="K609" s="241">
        <v>0</v>
      </c>
      <c r="L609" s="240">
        <v>0</v>
      </c>
      <c r="M609" s="240">
        <v>0</v>
      </c>
      <c r="N609" s="240">
        <v>0</v>
      </c>
      <c r="O609" s="241">
        <v>0</v>
      </c>
      <c r="P609" s="241">
        <v>0</v>
      </c>
      <c r="Q609" s="240">
        <v>0</v>
      </c>
      <c r="R609" s="241">
        <v>0</v>
      </c>
      <c r="S609" s="241">
        <v>0</v>
      </c>
      <c r="T609" s="241">
        <v>0</v>
      </c>
      <c r="U609" s="241">
        <v>7.1246209323945348E-3</v>
      </c>
      <c r="V609" s="247"/>
    </row>
    <row r="610" spans="1:22">
      <c r="A610" s="242" t="s">
        <v>870</v>
      </c>
      <c r="B610" s="243"/>
      <c r="C610" s="244">
        <v>7.3743486739453563E-3</v>
      </c>
      <c r="D610" s="245">
        <v>2.9557593069403469E-3</v>
      </c>
      <c r="E610" s="245">
        <v>6.6917537814726764E-3</v>
      </c>
      <c r="F610" s="245">
        <v>6.6436280607621578E-3</v>
      </c>
      <c r="G610" s="245">
        <v>6.3216388678828455E-3</v>
      </c>
      <c r="H610" s="245">
        <v>0</v>
      </c>
      <c r="I610" s="245">
        <v>4.741843832663858E-4</v>
      </c>
      <c r="J610" s="246">
        <v>6.374075364326404E-3</v>
      </c>
      <c r="K610" s="246">
        <v>0</v>
      </c>
      <c r="L610" s="245">
        <v>0</v>
      </c>
      <c r="M610" s="245">
        <v>0</v>
      </c>
      <c r="N610" s="245">
        <v>0</v>
      </c>
      <c r="O610" s="246">
        <v>0</v>
      </c>
      <c r="P610" s="246">
        <v>0</v>
      </c>
      <c r="Q610" s="245">
        <v>0</v>
      </c>
      <c r="R610" s="246">
        <v>0</v>
      </c>
      <c r="S610" s="246">
        <v>0</v>
      </c>
      <c r="T610" s="246">
        <v>0</v>
      </c>
      <c r="U610" s="246">
        <v>6.3623429048377516E-3</v>
      </c>
      <c r="V610" s="247"/>
    </row>
    <row r="611" spans="1:22">
      <c r="A611" s="242" t="s">
        <v>871</v>
      </c>
      <c r="B611" s="248"/>
      <c r="C611" s="249">
        <v>-7.4408144883109706E-2</v>
      </c>
      <c r="D611" s="250">
        <v>-1.5447138527351079E-2</v>
      </c>
      <c r="E611" s="250">
        <v>3.1493513024184738E-2</v>
      </c>
      <c r="F611" s="250">
        <v>-0.12457216494521239</v>
      </c>
      <c r="G611" s="250">
        <v>-0.51937052274264306</v>
      </c>
      <c r="H611" s="250">
        <v>0</v>
      </c>
      <c r="I611" s="250">
        <v>-0.68418238426599476</v>
      </c>
      <c r="J611" s="253">
        <v>-7.6255782810245254E-2</v>
      </c>
      <c r="K611" s="253">
        <v>0</v>
      </c>
      <c r="L611" s="250">
        <v>0</v>
      </c>
      <c r="M611" s="250">
        <v>0</v>
      </c>
      <c r="N611" s="250">
        <v>0</v>
      </c>
      <c r="O611" s="253">
        <v>0</v>
      </c>
      <c r="P611" s="253">
        <v>0</v>
      </c>
      <c r="Q611" s="250">
        <v>0</v>
      </c>
      <c r="R611" s="253">
        <v>0</v>
      </c>
      <c r="S611" s="253">
        <v>0</v>
      </c>
      <c r="T611" s="253">
        <v>0</v>
      </c>
      <c r="U611" s="253">
        <v>-7.6227802755678309E-2</v>
      </c>
      <c r="V611" s="247"/>
    </row>
    <row r="612" spans="1:22">
      <c r="A612" s="242" t="s">
        <v>872</v>
      </c>
      <c r="B612" s="219"/>
      <c r="C612" s="239">
        <v>3.818341428693767E-3</v>
      </c>
      <c r="D612" s="240">
        <v>2.7205370819541213E-3</v>
      </c>
      <c r="E612" s="240">
        <v>6.278417218019027E-3</v>
      </c>
      <c r="F612" s="240">
        <v>1.3625245919072685E-4</v>
      </c>
      <c r="G612" s="240">
        <v>1.6187718458116462E-2</v>
      </c>
      <c r="H612" s="240">
        <v>0</v>
      </c>
      <c r="I612" s="240">
        <v>0</v>
      </c>
      <c r="J612" s="241">
        <v>4.1586169613887572E-3</v>
      </c>
      <c r="K612" s="241">
        <v>0</v>
      </c>
      <c r="L612" s="240">
        <v>0</v>
      </c>
      <c r="M612" s="240">
        <v>0</v>
      </c>
      <c r="N612" s="240">
        <v>0</v>
      </c>
      <c r="O612" s="241">
        <v>0</v>
      </c>
      <c r="P612" s="241">
        <v>0</v>
      </c>
      <c r="Q612" s="240">
        <v>0</v>
      </c>
      <c r="R612" s="241">
        <v>0</v>
      </c>
      <c r="S612" s="241">
        <v>0</v>
      </c>
      <c r="T612" s="241">
        <v>0</v>
      </c>
      <c r="U612" s="241">
        <v>4.1516172478016358E-3</v>
      </c>
      <c r="V612" s="247"/>
    </row>
    <row r="613" spans="1:22">
      <c r="A613" s="242" t="s">
        <v>873</v>
      </c>
      <c r="B613" s="243"/>
      <c r="C613" s="244">
        <v>4.2110729649223718E-3</v>
      </c>
      <c r="D613" s="245">
        <v>3.0604838272839875E-3</v>
      </c>
      <c r="E613" s="245">
        <v>6.9465583886323731E-3</v>
      </c>
      <c r="F613" s="245">
        <v>1.1205336988330209E-4</v>
      </c>
      <c r="G613" s="245">
        <v>2.1709391542258965E-2</v>
      </c>
      <c r="H613" s="245">
        <v>0</v>
      </c>
      <c r="I613" s="245">
        <v>0</v>
      </c>
      <c r="J613" s="246">
        <v>4.7149460712296032E-3</v>
      </c>
      <c r="K613" s="246">
        <v>0</v>
      </c>
      <c r="L613" s="245">
        <v>0</v>
      </c>
      <c r="M613" s="245">
        <v>0</v>
      </c>
      <c r="N613" s="245">
        <v>0</v>
      </c>
      <c r="O613" s="246">
        <v>0</v>
      </c>
      <c r="P613" s="246">
        <v>0</v>
      </c>
      <c r="Q613" s="245">
        <v>0</v>
      </c>
      <c r="R613" s="246">
        <v>0</v>
      </c>
      <c r="S613" s="246">
        <v>0</v>
      </c>
      <c r="T613" s="246">
        <v>0</v>
      </c>
      <c r="U613" s="246">
        <v>4.7062674926734915E-3</v>
      </c>
      <c r="V613" s="247"/>
    </row>
    <row r="614" spans="1:22">
      <c r="A614" s="242" t="s">
        <v>874</v>
      </c>
      <c r="B614" s="248"/>
      <c r="C614" s="249">
        <v>3.9273153622860484E-2</v>
      </c>
      <c r="D614" s="250">
        <v>3.3994674532986623E-2</v>
      </c>
      <c r="E614" s="250">
        <v>6.681411706133461E-2</v>
      </c>
      <c r="F614" s="250">
        <v>-2.4199089307424754E-3</v>
      </c>
      <c r="G614" s="250">
        <v>0.55216730841425032</v>
      </c>
      <c r="H614" s="250">
        <v>0</v>
      </c>
      <c r="I614" s="250">
        <v>0</v>
      </c>
      <c r="J614" s="253">
        <v>5.5632910984084599E-2</v>
      </c>
      <c r="K614" s="253">
        <v>0</v>
      </c>
      <c r="L614" s="250">
        <v>0</v>
      </c>
      <c r="M614" s="250">
        <v>0</v>
      </c>
      <c r="N614" s="250">
        <v>0</v>
      </c>
      <c r="O614" s="253">
        <v>0</v>
      </c>
      <c r="P614" s="253">
        <v>0</v>
      </c>
      <c r="Q614" s="250">
        <v>0</v>
      </c>
      <c r="R614" s="253">
        <v>0</v>
      </c>
      <c r="S614" s="253">
        <v>0</v>
      </c>
      <c r="T614" s="253">
        <v>0</v>
      </c>
      <c r="U614" s="253">
        <v>5.5465024487185571E-2</v>
      </c>
      <c r="V614" s="247"/>
    </row>
    <row r="615" spans="1:22">
      <c r="A615" s="242" t="s">
        <v>875</v>
      </c>
      <c r="B615" s="219"/>
      <c r="C615" s="239">
        <v>1.483051459756144E-3</v>
      </c>
      <c r="D615" s="240">
        <v>4.5317890733021912E-3</v>
      </c>
      <c r="E615" s="240">
        <v>1.0910385713329236E-3</v>
      </c>
      <c r="F615" s="240">
        <v>1.7446961237836976E-4</v>
      </c>
      <c r="G615" s="240">
        <v>1.3426363111514897E-5</v>
      </c>
      <c r="H615" s="240">
        <v>0</v>
      </c>
      <c r="I615" s="240">
        <v>0</v>
      </c>
      <c r="J615" s="241">
        <v>1.5940437676863002E-3</v>
      </c>
      <c r="K615" s="241">
        <v>0</v>
      </c>
      <c r="L615" s="240">
        <v>0</v>
      </c>
      <c r="M615" s="240">
        <v>0</v>
      </c>
      <c r="N615" s="240">
        <v>0</v>
      </c>
      <c r="O615" s="241">
        <v>0</v>
      </c>
      <c r="P615" s="241">
        <v>0</v>
      </c>
      <c r="Q615" s="240">
        <v>0</v>
      </c>
      <c r="R615" s="241">
        <v>0</v>
      </c>
      <c r="S615" s="241">
        <v>0</v>
      </c>
      <c r="T615" s="241">
        <v>0</v>
      </c>
      <c r="U615" s="241">
        <v>1.5913607002331696E-3</v>
      </c>
      <c r="V615" s="247"/>
    </row>
    <row r="616" spans="1:22">
      <c r="A616" s="242" t="s">
        <v>876</v>
      </c>
      <c r="B616" s="243"/>
      <c r="C616" s="244">
        <v>1.0780554274806402E-3</v>
      </c>
      <c r="D616" s="245">
        <v>4.6123928830660446E-3</v>
      </c>
      <c r="E616" s="245">
        <v>8.9181612505893665E-4</v>
      </c>
      <c r="F616" s="245">
        <v>8.7693941647801646E-5</v>
      </c>
      <c r="G616" s="245">
        <v>0</v>
      </c>
      <c r="H616" s="245">
        <v>0</v>
      </c>
      <c r="I616" s="245">
        <v>0</v>
      </c>
      <c r="J616" s="246">
        <v>1.3519971337067936E-3</v>
      </c>
      <c r="K616" s="246">
        <v>0</v>
      </c>
      <c r="L616" s="245">
        <v>0</v>
      </c>
      <c r="M616" s="245">
        <v>0</v>
      </c>
      <c r="N616" s="245">
        <v>0</v>
      </c>
      <c r="O616" s="246">
        <v>0</v>
      </c>
      <c r="P616" s="246">
        <v>0</v>
      </c>
      <c r="Q616" s="245">
        <v>0</v>
      </c>
      <c r="R616" s="246">
        <v>0</v>
      </c>
      <c r="S616" s="246">
        <v>0</v>
      </c>
      <c r="T616" s="246">
        <v>0</v>
      </c>
      <c r="U616" s="246">
        <v>1.3495085764348221E-3</v>
      </c>
      <c r="V616" s="247"/>
    </row>
    <row r="617" spans="1:22">
      <c r="A617" s="271" t="s">
        <v>877</v>
      </c>
      <c r="B617" s="248"/>
      <c r="C617" s="249">
        <v>-4.0499603227550376E-2</v>
      </c>
      <c r="D617" s="250">
        <v>8.0603809763853465E-3</v>
      </c>
      <c r="E617" s="250">
        <v>-1.9922244627398694E-2</v>
      </c>
      <c r="F617" s="250">
        <v>-8.6775670730568112E-3</v>
      </c>
      <c r="G617" s="250">
        <v>-1.3426363111514897E-3</v>
      </c>
      <c r="H617" s="250">
        <v>0</v>
      </c>
      <c r="I617" s="250">
        <v>0</v>
      </c>
      <c r="J617" s="253">
        <v>-2.420466339795066E-2</v>
      </c>
      <c r="K617" s="253">
        <v>0</v>
      </c>
      <c r="L617" s="250">
        <v>0</v>
      </c>
      <c r="M617" s="250">
        <v>0</v>
      </c>
      <c r="N617" s="250">
        <v>0</v>
      </c>
      <c r="O617" s="253">
        <v>0</v>
      </c>
      <c r="P617" s="253">
        <v>0</v>
      </c>
      <c r="Q617" s="250">
        <v>0</v>
      </c>
      <c r="R617" s="253">
        <v>0</v>
      </c>
      <c r="S617" s="253">
        <v>0</v>
      </c>
      <c r="T617" s="253">
        <v>0</v>
      </c>
      <c r="U617" s="253">
        <v>-2.4185212379834752E-2</v>
      </c>
      <c r="V617" s="247"/>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AG668"/>
  <sheetViews>
    <sheetView topLeftCell="A2" zoomScale="90" zoomScaleNormal="90" zoomScalePageLayoutView="90" workbookViewId="0">
      <pane xSplit="5" ySplit="5" topLeftCell="U612" activePane="bottomRight" state="frozenSplit"/>
      <selection activeCell="A2" sqref="A2 A2"/>
      <selection pane="topRight" activeCell="A2" sqref="A2"/>
      <selection pane="bottomLeft" activeCell="A2" sqref="A2"/>
      <selection pane="bottomRight" activeCell="B13" sqref="B13"/>
    </sheetView>
  </sheetViews>
  <sheetFormatPr defaultColWidth="8.88671875" defaultRowHeight="12.75"/>
  <cols>
    <col min="1" max="1" width="6.44140625" style="88" customWidth="1"/>
    <col min="2" max="2" width="32.109375" style="89" customWidth="1"/>
    <col min="3" max="3" width="35.109375" style="89" customWidth="1"/>
    <col min="4" max="4" width="10.21875" style="88" customWidth="1"/>
    <col min="5" max="5" width="6.77734375" style="88" customWidth="1"/>
    <col min="6" max="6" width="11.88671875" style="45" customWidth="1"/>
    <col min="7" max="7" width="11.88671875" style="90" customWidth="1"/>
    <col min="8" max="8" width="11.33203125" style="45" customWidth="1"/>
    <col min="9" max="9" width="11.33203125" style="90" customWidth="1"/>
    <col min="10" max="11" width="10.77734375" style="45" customWidth="1"/>
    <col min="12" max="12" width="10.44140625" style="45" customWidth="1"/>
    <col min="13" max="13" width="13.44140625" style="91" customWidth="1"/>
    <col min="14" max="14" width="10.44140625" style="91" customWidth="1"/>
    <col min="15" max="15" width="9.88671875" style="91" customWidth="1"/>
    <col min="16" max="16" width="11.44140625" style="45" customWidth="1"/>
    <col min="17" max="17" width="12.21875" style="90" customWidth="1"/>
    <col min="18" max="18" width="9.44140625" style="45" customWidth="1"/>
    <col min="19" max="19" width="9.44140625" style="90" customWidth="1"/>
    <col min="20" max="20" width="10.88671875" style="45" customWidth="1"/>
    <col min="21" max="21" width="10.88671875" style="90" customWidth="1"/>
    <col min="22" max="22" width="10.44140625" style="45" customWidth="1"/>
    <col min="23" max="23" width="10.44140625" style="90" customWidth="1"/>
    <col min="24" max="25" width="10.33203125" style="45" customWidth="1"/>
    <col min="26" max="26" width="8.77734375" style="45" customWidth="1"/>
    <col min="27" max="27" width="11.44140625" style="91" customWidth="1"/>
    <col min="28" max="28" width="12.44140625" style="91" customWidth="1"/>
    <col min="29" max="29" width="10.21875" style="91" customWidth="1"/>
    <col min="30" max="30" width="11.77734375" style="45" customWidth="1"/>
    <col min="31" max="31" width="12.33203125" style="90" customWidth="1"/>
    <col min="32" max="33" width="8.77734375" style="45" customWidth="1"/>
    <col min="34" max="34" width="8.88671875" style="45" customWidth="1"/>
    <col min="35" max="16384" width="8.88671875" style="45"/>
  </cols>
  <sheetData>
    <row r="1" spans="1:33" hidden="1">
      <c r="A1" s="48"/>
      <c r="B1" s="49"/>
      <c r="C1" s="49"/>
      <c r="D1" s="50"/>
      <c r="E1" s="48"/>
      <c r="F1" s="51">
        <f>SUM(H1,J1,L1,M1,N1,R1)</f>
        <v>0</v>
      </c>
      <c r="G1" s="52">
        <f>SUM(I1,K1,O1,P1,Q1,S1)</f>
        <v>0</v>
      </c>
      <c r="H1" s="50"/>
      <c r="I1" s="50"/>
      <c r="J1" s="50"/>
      <c r="K1" s="50"/>
      <c r="L1" s="50"/>
      <c r="M1" s="50"/>
      <c r="N1" s="50"/>
      <c r="O1" s="50"/>
      <c r="P1" s="50"/>
      <c r="Q1" s="50"/>
      <c r="R1" s="50"/>
      <c r="S1" s="50"/>
      <c r="T1" s="53">
        <f>SUM(V1,X1,Z1,AA1,AB1,AF1)</f>
        <v>0</v>
      </c>
      <c r="U1" s="54">
        <f>SUM(W1,Y1,AC1,AD1,AE1,AG1)</f>
        <v>0</v>
      </c>
      <c r="V1" s="50"/>
      <c r="W1" s="50"/>
      <c r="X1" s="50"/>
      <c r="Y1" s="50"/>
      <c r="Z1" s="50"/>
      <c r="AA1" s="50"/>
      <c r="AB1" s="50"/>
      <c r="AC1" s="50"/>
      <c r="AD1" s="50"/>
      <c r="AE1" s="50"/>
      <c r="AF1" s="50"/>
      <c r="AG1" s="50"/>
    </row>
    <row r="2" spans="1:33" s="44" customFormat="1" ht="18.75" customHeight="1" thickBot="1">
      <c r="A2" s="46" t="s">
        <v>0</v>
      </c>
      <c r="B2" s="46"/>
      <c r="C2" s="46"/>
      <c r="D2" s="46"/>
      <c r="E2" s="46"/>
      <c r="F2" s="38" t="s">
        <v>1</v>
      </c>
      <c r="G2" s="39"/>
      <c r="H2" s="39"/>
      <c r="I2" s="39"/>
      <c r="J2" s="39"/>
      <c r="K2" s="39"/>
      <c r="L2" s="39"/>
      <c r="M2" s="39"/>
      <c r="N2" s="40"/>
      <c r="O2" s="39"/>
      <c r="P2" s="39"/>
      <c r="Q2" s="39"/>
      <c r="R2" s="37"/>
      <c r="S2" s="39"/>
      <c r="T2" s="38" t="s">
        <v>2</v>
      </c>
      <c r="U2" s="39"/>
      <c r="V2" s="39"/>
      <c r="W2" s="39"/>
      <c r="X2" s="39"/>
      <c r="Y2" s="39"/>
      <c r="Z2" s="39"/>
      <c r="AA2" s="39"/>
      <c r="AB2" s="40"/>
      <c r="AC2" s="39"/>
      <c r="AD2" s="39"/>
      <c r="AE2" s="39"/>
      <c r="AF2" s="47"/>
      <c r="AG2" s="39"/>
    </row>
    <row r="3" spans="1:33" s="44" customFormat="1" ht="12.75" customHeight="1" thickTop="1">
      <c r="A3" s="55" t="s">
        <v>3</v>
      </c>
      <c r="B3" s="56"/>
      <c r="C3" s="56"/>
      <c r="D3" s="56"/>
      <c r="E3" s="56"/>
      <c r="F3" s="57" t="s">
        <v>4</v>
      </c>
      <c r="G3" s="58"/>
      <c r="H3" s="36"/>
      <c r="I3" s="35"/>
      <c r="J3" s="36"/>
      <c r="K3" s="35"/>
      <c r="L3" s="34" t="s">
        <v>5</v>
      </c>
      <c r="M3" s="41"/>
      <c r="N3" s="42"/>
      <c r="O3" s="32"/>
      <c r="P3" s="31"/>
      <c r="Q3" s="31"/>
      <c r="R3" s="33"/>
      <c r="S3" s="35"/>
      <c r="T3" s="57" t="s">
        <v>4</v>
      </c>
      <c r="U3" s="58"/>
      <c r="V3" s="36"/>
      <c r="W3" s="35"/>
      <c r="X3" s="36"/>
      <c r="Y3" s="35"/>
      <c r="Z3" s="34" t="s">
        <v>5</v>
      </c>
      <c r="AA3" s="41"/>
      <c r="AB3" s="42"/>
      <c r="AC3" s="32"/>
      <c r="AD3" s="31"/>
      <c r="AE3" s="31"/>
      <c r="AF3" s="33"/>
      <c r="AG3" s="35"/>
    </row>
    <row r="4" spans="1:33" s="44" customFormat="1" ht="102" customHeight="1">
      <c r="A4" s="59" t="s">
        <v>6</v>
      </c>
      <c r="B4" s="60"/>
      <c r="C4" s="60"/>
      <c r="D4" s="60"/>
      <c r="E4" s="60"/>
      <c r="F4" s="30" t="s">
        <v>7</v>
      </c>
      <c r="G4" s="29"/>
      <c r="H4" s="520" t="s">
        <v>8</v>
      </c>
      <c r="I4" s="521"/>
      <c r="J4" s="34" t="s">
        <v>9</v>
      </c>
      <c r="K4" s="28"/>
      <c r="L4" s="27" t="s">
        <v>10</v>
      </c>
      <c r="M4" s="27" t="s">
        <v>11</v>
      </c>
      <c r="N4" s="43" t="s">
        <v>12</v>
      </c>
      <c r="O4" s="28" t="s">
        <v>10</v>
      </c>
      <c r="P4" s="28" t="s">
        <v>13</v>
      </c>
      <c r="Q4" s="28" t="s">
        <v>14</v>
      </c>
      <c r="R4" s="26" t="s">
        <v>15</v>
      </c>
      <c r="S4" s="28"/>
      <c r="T4" s="30" t="s">
        <v>16</v>
      </c>
      <c r="U4" s="29"/>
      <c r="V4" s="34" t="s">
        <v>17</v>
      </c>
      <c r="W4" s="28"/>
      <c r="X4" s="34" t="s">
        <v>18</v>
      </c>
      <c r="Y4" s="28"/>
      <c r="Z4" s="27" t="s">
        <v>10</v>
      </c>
      <c r="AA4" s="27" t="s">
        <v>19</v>
      </c>
      <c r="AB4" s="43" t="s">
        <v>20</v>
      </c>
      <c r="AC4" s="28" t="s">
        <v>10</v>
      </c>
      <c r="AD4" s="28" t="s">
        <v>21</v>
      </c>
      <c r="AE4" s="28" t="s">
        <v>22</v>
      </c>
      <c r="AF4" s="26" t="s">
        <v>23</v>
      </c>
      <c r="AG4" s="28"/>
    </row>
    <row r="5" spans="1:33" s="92" customFormat="1" ht="38.25" customHeight="1" thickBot="1">
      <c r="A5" s="61" t="s">
        <v>24</v>
      </c>
      <c r="B5" s="62" t="s">
        <v>25</v>
      </c>
      <c r="C5" s="63" t="s">
        <v>26</v>
      </c>
      <c r="D5" s="64" t="s">
        <v>27</v>
      </c>
      <c r="E5" s="65" t="s">
        <v>28</v>
      </c>
      <c r="F5" s="66">
        <v>2016</v>
      </c>
      <c r="G5" s="67">
        <v>2017</v>
      </c>
      <c r="H5" s="68">
        <v>2016</v>
      </c>
      <c r="I5" s="43">
        <v>2017</v>
      </c>
      <c r="J5" s="68">
        <v>2016</v>
      </c>
      <c r="K5" s="25">
        <v>2017</v>
      </c>
      <c r="L5" s="69">
        <v>2016</v>
      </c>
      <c r="M5" s="68">
        <v>2016</v>
      </c>
      <c r="N5" s="68">
        <v>2016</v>
      </c>
      <c r="O5" s="43">
        <v>2017</v>
      </c>
      <c r="P5" s="43">
        <v>2017</v>
      </c>
      <c r="Q5" s="25">
        <v>2017</v>
      </c>
      <c r="R5" s="69">
        <v>2016</v>
      </c>
      <c r="S5" s="25">
        <v>2017</v>
      </c>
      <c r="T5" s="66">
        <v>2016</v>
      </c>
      <c r="U5" s="67">
        <v>2017</v>
      </c>
      <c r="V5" s="68">
        <v>2016</v>
      </c>
      <c r="W5" s="43">
        <v>2017</v>
      </c>
      <c r="X5" s="68">
        <v>2016</v>
      </c>
      <c r="Y5" s="25">
        <v>2017</v>
      </c>
      <c r="Z5" s="69">
        <v>2016</v>
      </c>
      <c r="AA5" s="68">
        <v>2016</v>
      </c>
      <c r="AB5" s="68">
        <v>2016</v>
      </c>
      <c r="AC5" s="43">
        <v>2017</v>
      </c>
      <c r="AD5" s="43">
        <v>2017</v>
      </c>
      <c r="AE5" s="25">
        <v>2017</v>
      </c>
      <c r="AF5" s="69">
        <v>2016</v>
      </c>
      <c r="AG5" s="27">
        <v>2017</v>
      </c>
    </row>
    <row r="6" spans="1:33" s="44" customFormat="1" ht="28.5" customHeight="1" thickTop="1">
      <c r="A6" s="70" t="s">
        <v>24</v>
      </c>
      <c r="B6" s="71" t="s">
        <v>25</v>
      </c>
      <c r="C6" s="71" t="s">
        <v>29</v>
      </c>
      <c r="D6" s="70" t="s">
        <v>30</v>
      </c>
      <c r="E6" s="70" t="s">
        <v>31</v>
      </c>
      <c r="F6" s="72" t="s">
        <v>32</v>
      </c>
      <c r="G6" s="72" t="s">
        <v>33</v>
      </c>
      <c r="H6" s="72" t="s">
        <v>34</v>
      </c>
      <c r="I6" s="72" t="s">
        <v>35</v>
      </c>
      <c r="J6" s="72" t="s">
        <v>36</v>
      </c>
      <c r="K6" s="72" t="s">
        <v>37</v>
      </c>
      <c r="L6" s="72" t="s">
        <v>38</v>
      </c>
      <c r="M6" s="72" t="s">
        <v>39</v>
      </c>
      <c r="N6" s="72" t="s">
        <v>40</v>
      </c>
      <c r="O6" s="72" t="s">
        <v>41</v>
      </c>
      <c r="P6" s="72" t="s">
        <v>42</v>
      </c>
      <c r="Q6" s="72" t="s">
        <v>43</v>
      </c>
      <c r="R6" s="72" t="s">
        <v>44</v>
      </c>
      <c r="S6" s="72" t="s">
        <v>45</v>
      </c>
      <c r="T6" s="72" t="s">
        <v>46</v>
      </c>
      <c r="U6" s="72" t="s">
        <v>47</v>
      </c>
      <c r="V6" s="72" t="s">
        <v>48</v>
      </c>
      <c r="W6" s="72" t="s">
        <v>49</v>
      </c>
      <c r="X6" s="72" t="s">
        <v>50</v>
      </c>
      <c r="Y6" s="72" t="s">
        <v>51</v>
      </c>
      <c r="Z6" s="72" t="s">
        <v>52</v>
      </c>
      <c r="AA6" s="72" t="s">
        <v>53</v>
      </c>
      <c r="AB6" s="72" t="s">
        <v>54</v>
      </c>
      <c r="AC6" s="72" t="s">
        <v>55</v>
      </c>
      <c r="AD6" s="72" t="s">
        <v>56</v>
      </c>
      <c r="AE6" s="72" t="s">
        <v>57</v>
      </c>
      <c r="AF6" s="72" t="s">
        <v>58</v>
      </c>
      <c r="AG6" s="73" t="s">
        <v>59</v>
      </c>
    </row>
    <row r="7" spans="1:33" s="44" customFormat="1" ht="13.5" customHeight="1">
      <c r="A7" s="74" t="s">
        <v>60</v>
      </c>
      <c r="B7" s="75" t="s">
        <v>61</v>
      </c>
      <c r="C7" s="76"/>
      <c r="D7" s="77">
        <v>100858</v>
      </c>
      <c r="E7" s="77">
        <v>1</v>
      </c>
      <c r="F7" s="78">
        <f t="shared" ref="F7:F70" si="0">SUM(H7,J7,L7,M7,N7,R7)</f>
        <v>651666</v>
      </c>
      <c r="G7" s="79">
        <f t="shared" ref="G7:G70" si="1">SUM(I7,K7,O7,P7,Q7,S7)</f>
        <v>693807</v>
      </c>
      <c r="H7" s="80">
        <v>614587</v>
      </c>
      <c r="I7" s="81">
        <v>648072</v>
      </c>
      <c r="J7" s="80"/>
      <c r="K7" s="81"/>
      <c r="L7" s="80">
        <v>37079</v>
      </c>
      <c r="M7" s="80"/>
      <c r="N7" s="80"/>
      <c r="O7" s="81">
        <v>45735</v>
      </c>
      <c r="P7" s="81"/>
      <c r="Q7" s="81"/>
      <c r="R7" s="80"/>
      <c r="S7" s="81"/>
      <c r="T7" s="78">
        <f t="shared" ref="T7:T70" si="2">SUM(V7,X7,Z7,AA7,AB7,AF7)</f>
        <v>103440</v>
      </c>
      <c r="U7" s="79">
        <f t="shared" ref="U7:U70" si="3">SUM(W7,Y7,AC7,AD7,AE7,AG7)</f>
        <v>108134</v>
      </c>
      <c r="V7" s="80">
        <v>80954</v>
      </c>
      <c r="W7" s="81">
        <v>82672</v>
      </c>
      <c r="X7" s="80">
        <v>2268</v>
      </c>
      <c r="Y7" s="81">
        <v>2582</v>
      </c>
      <c r="Z7" s="80">
        <v>20218</v>
      </c>
      <c r="AA7" s="80"/>
      <c r="AB7" s="80"/>
      <c r="AC7" s="81">
        <v>22880</v>
      </c>
      <c r="AD7" s="81"/>
      <c r="AE7" s="81"/>
      <c r="AF7" s="80"/>
      <c r="AG7" s="81"/>
    </row>
    <row r="8" spans="1:33">
      <c r="A8" s="74" t="s">
        <v>60</v>
      </c>
      <c r="B8" s="75" t="s">
        <v>62</v>
      </c>
      <c r="C8" s="76"/>
      <c r="D8" s="77">
        <v>100751</v>
      </c>
      <c r="E8" s="77">
        <v>1</v>
      </c>
      <c r="F8" s="78">
        <f t="shared" si="0"/>
        <v>909843</v>
      </c>
      <c r="G8" s="79">
        <f t="shared" si="1"/>
        <v>929726</v>
      </c>
      <c r="H8" s="80">
        <v>827187</v>
      </c>
      <c r="I8" s="81">
        <v>840744</v>
      </c>
      <c r="J8" s="80">
        <v>477</v>
      </c>
      <c r="K8" s="81">
        <v>281</v>
      </c>
      <c r="L8" s="80">
        <v>80757</v>
      </c>
      <c r="M8" s="80">
        <v>1422</v>
      </c>
      <c r="N8" s="80"/>
      <c r="O8" s="81">
        <v>86904</v>
      </c>
      <c r="P8" s="81">
        <v>1797</v>
      </c>
      <c r="Q8" s="81"/>
      <c r="R8" s="80"/>
      <c r="S8" s="81"/>
      <c r="T8" s="78">
        <f t="shared" si="2"/>
        <v>96912</v>
      </c>
      <c r="U8" s="79">
        <f t="shared" si="3"/>
        <v>97386</v>
      </c>
      <c r="V8" s="80">
        <v>75212</v>
      </c>
      <c r="W8" s="81">
        <v>73327</v>
      </c>
      <c r="X8" s="80">
        <v>3008</v>
      </c>
      <c r="Y8" s="81">
        <v>1817</v>
      </c>
      <c r="Z8" s="80">
        <v>18488</v>
      </c>
      <c r="AA8" s="80">
        <v>204</v>
      </c>
      <c r="AB8" s="80"/>
      <c r="AC8" s="81">
        <v>22041</v>
      </c>
      <c r="AD8" s="81">
        <v>201</v>
      </c>
      <c r="AE8" s="81"/>
      <c r="AF8" s="80"/>
      <c r="AG8" s="81"/>
    </row>
    <row r="9" spans="1:33">
      <c r="A9" s="74" t="s">
        <v>60</v>
      </c>
      <c r="B9" s="75" t="s">
        <v>63</v>
      </c>
      <c r="C9" s="82" t="s">
        <v>102</v>
      </c>
      <c r="D9" s="77">
        <v>100663</v>
      </c>
      <c r="E9" s="77">
        <v>2</v>
      </c>
      <c r="F9" s="78">
        <f t="shared" si="0"/>
        <v>273551.5</v>
      </c>
      <c r="G9" s="79">
        <f t="shared" si="1"/>
        <v>295175</v>
      </c>
      <c r="H9" s="80">
        <v>199337.5</v>
      </c>
      <c r="I9" s="81">
        <v>207993</v>
      </c>
      <c r="J9" s="80">
        <v>186</v>
      </c>
      <c r="K9" s="81">
        <v>228</v>
      </c>
      <c r="L9" s="80">
        <v>73968</v>
      </c>
      <c r="M9" s="80">
        <v>60</v>
      </c>
      <c r="N9" s="80"/>
      <c r="O9" s="81">
        <v>86894</v>
      </c>
      <c r="P9" s="81">
        <v>60</v>
      </c>
      <c r="Q9" s="81"/>
      <c r="R9" s="80"/>
      <c r="S9" s="81"/>
      <c r="T9" s="78">
        <f t="shared" si="2"/>
        <v>43330</v>
      </c>
      <c r="U9" s="79">
        <f t="shared" si="3"/>
        <v>50185</v>
      </c>
      <c r="V9" s="80">
        <v>26796</v>
      </c>
      <c r="W9" s="81">
        <v>29946</v>
      </c>
      <c r="X9" s="80">
        <v>176</v>
      </c>
      <c r="Y9" s="81">
        <v>54</v>
      </c>
      <c r="Z9" s="80">
        <v>16223</v>
      </c>
      <c r="AA9" s="80">
        <v>135</v>
      </c>
      <c r="AB9" s="80"/>
      <c r="AC9" s="81">
        <v>20056</v>
      </c>
      <c r="AD9" s="81">
        <v>129</v>
      </c>
      <c r="AE9" s="81"/>
      <c r="AF9" s="80"/>
      <c r="AG9" s="81"/>
    </row>
    <row r="10" spans="1:33">
      <c r="A10" s="74" t="s">
        <v>60</v>
      </c>
      <c r="B10" s="75" t="s">
        <v>64</v>
      </c>
      <c r="C10" s="24"/>
      <c r="D10" s="77">
        <v>100706</v>
      </c>
      <c r="E10" s="77">
        <v>2</v>
      </c>
      <c r="F10" s="78">
        <f t="shared" si="0"/>
        <v>166306</v>
      </c>
      <c r="G10" s="79">
        <f t="shared" si="1"/>
        <v>184226</v>
      </c>
      <c r="H10" s="80">
        <v>161965</v>
      </c>
      <c r="I10" s="81">
        <v>174986</v>
      </c>
      <c r="J10" s="80"/>
      <c r="K10" s="81"/>
      <c r="L10" s="80">
        <v>4341</v>
      </c>
      <c r="M10" s="80"/>
      <c r="N10" s="80"/>
      <c r="O10" s="81">
        <v>9240</v>
      </c>
      <c r="P10" s="81"/>
      <c r="Q10" s="81"/>
      <c r="R10" s="80"/>
      <c r="S10" s="81"/>
      <c r="T10" s="78">
        <f t="shared" si="2"/>
        <v>29506</v>
      </c>
      <c r="U10" s="79">
        <f t="shared" si="3"/>
        <v>31413</v>
      </c>
      <c r="V10" s="80">
        <v>21456</v>
      </c>
      <c r="W10" s="81">
        <v>21910</v>
      </c>
      <c r="X10" s="80"/>
      <c r="Y10" s="81"/>
      <c r="Z10" s="80">
        <v>8050</v>
      </c>
      <c r="AA10" s="80"/>
      <c r="AB10" s="80"/>
      <c r="AC10" s="81">
        <v>9503</v>
      </c>
      <c r="AD10" s="81"/>
      <c r="AE10" s="81"/>
      <c r="AF10" s="80"/>
      <c r="AG10" s="81"/>
    </row>
    <row r="11" spans="1:33">
      <c r="A11" s="74" t="s">
        <v>60</v>
      </c>
      <c r="B11" s="75" t="s">
        <v>65</v>
      </c>
      <c r="C11" s="24"/>
      <c r="D11" s="77">
        <v>100654</v>
      </c>
      <c r="E11" s="77">
        <v>3</v>
      </c>
      <c r="F11" s="78">
        <f t="shared" si="0"/>
        <v>120596</v>
      </c>
      <c r="G11" s="79">
        <f t="shared" si="1"/>
        <v>135883</v>
      </c>
      <c r="H11" s="80">
        <v>113677</v>
      </c>
      <c r="I11" s="81">
        <v>125764</v>
      </c>
      <c r="J11" s="80"/>
      <c r="K11" s="81">
        <v>381</v>
      </c>
      <c r="L11" s="80">
        <v>6919</v>
      </c>
      <c r="M11" s="80"/>
      <c r="N11" s="80"/>
      <c r="O11" s="81">
        <v>9738</v>
      </c>
      <c r="P11" s="81"/>
      <c r="Q11" s="81"/>
      <c r="R11" s="80"/>
      <c r="S11" s="81"/>
      <c r="T11" s="78">
        <f t="shared" si="2"/>
        <v>18715</v>
      </c>
      <c r="U11" s="79">
        <f t="shared" si="3"/>
        <v>17205</v>
      </c>
      <c r="V11" s="80">
        <v>17751</v>
      </c>
      <c r="W11" s="81">
        <v>14812</v>
      </c>
      <c r="X11" s="80"/>
      <c r="Y11" s="81">
        <v>331</v>
      </c>
      <c r="Z11" s="80">
        <v>964</v>
      </c>
      <c r="AA11" s="80"/>
      <c r="AB11" s="80"/>
      <c r="AC11" s="81">
        <v>2062</v>
      </c>
      <c r="AD11" s="81"/>
      <c r="AE11" s="81"/>
      <c r="AF11" s="80"/>
      <c r="AG11" s="81"/>
    </row>
    <row r="12" spans="1:33">
      <c r="A12" s="74" t="s">
        <v>60</v>
      </c>
      <c r="B12" s="75" t="s">
        <v>66</v>
      </c>
      <c r="C12" s="24"/>
      <c r="D12" s="77">
        <v>101480</v>
      </c>
      <c r="E12" s="77">
        <v>3</v>
      </c>
      <c r="F12" s="78">
        <f t="shared" si="0"/>
        <v>187104</v>
      </c>
      <c r="G12" s="79">
        <f t="shared" si="1"/>
        <v>187997</v>
      </c>
      <c r="H12" s="80">
        <v>132502</v>
      </c>
      <c r="I12" s="81">
        <v>129475</v>
      </c>
      <c r="J12" s="80">
        <v>3104</v>
      </c>
      <c r="K12" s="81">
        <v>2942</v>
      </c>
      <c r="L12" s="80">
        <v>50265</v>
      </c>
      <c r="M12" s="80">
        <v>1233</v>
      </c>
      <c r="N12" s="80">
        <v>0</v>
      </c>
      <c r="O12" s="81">
        <v>54626</v>
      </c>
      <c r="P12" s="81">
        <v>954</v>
      </c>
      <c r="Q12" s="81">
        <v>0</v>
      </c>
      <c r="R12" s="80"/>
      <c r="S12" s="81"/>
      <c r="T12" s="78">
        <f t="shared" si="2"/>
        <v>14986</v>
      </c>
      <c r="U12" s="79">
        <f t="shared" si="3"/>
        <v>16190</v>
      </c>
      <c r="V12" s="80">
        <v>3966</v>
      </c>
      <c r="W12" s="81">
        <v>3791</v>
      </c>
      <c r="X12" s="80"/>
      <c r="Y12" s="81"/>
      <c r="Z12" s="80">
        <v>11020</v>
      </c>
      <c r="AA12" s="80">
        <v>0</v>
      </c>
      <c r="AB12" s="80"/>
      <c r="AC12" s="81">
        <v>12399</v>
      </c>
      <c r="AD12" s="81"/>
      <c r="AE12" s="81"/>
      <c r="AF12" s="80"/>
      <c r="AG12" s="81"/>
    </row>
    <row r="13" spans="1:33">
      <c r="A13" s="74" t="s">
        <v>60</v>
      </c>
      <c r="B13" s="75" t="s">
        <v>67</v>
      </c>
      <c r="C13" s="24"/>
      <c r="D13" s="77">
        <v>102368</v>
      </c>
      <c r="E13" s="77">
        <v>3</v>
      </c>
      <c r="F13" s="78">
        <f t="shared" si="0"/>
        <v>272341</v>
      </c>
      <c r="G13" s="79">
        <f t="shared" si="1"/>
        <v>277943</v>
      </c>
      <c r="H13" s="80">
        <v>214024</v>
      </c>
      <c r="I13" s="81">
        <v>216564</v>
      </c>
      <c r="J13" s="80">
        <v>0</v>
      </c>
      <c r="K13" s="81">
        <v>0</v>
      </c>
      <c r="L13" s="80">
        <v>57930</v>
      </c>
      <c r="M13" s="80">
        <v>0</v>
      </c>
      <c r="N13" s="80">
        <v>387</v>
      </c>
      <c r="O13" s="81">
        <v>61379</v>
      </c>
      <c r="P13" s="81">
        <v>0</v>
      </c>
      <c r="Q13" s="81">
        <v>0</v>
      </c>
      <c r="R13" s="80"/>
      <c r="S13" s="81">
        <v>0</v>
      </c>
      <c r="T13" s="78">
        <f t="shared" si="2"/>
        <v>36503</v>
      </c>
      <c r="U13" s="79">
        <f t="shared" si="3"/>
        <v>34799</v>
      </c>
      <c r="V13" s="80">
        <v>23287</v>
      </c>
      <c r="W13" s="81">
        <v>21462</v>
      </c>
      <c r="X13" s="80">
        <v>21</v>
      </c>
      <c r="Y13" s="81">
        <v>0</v>
      </c>
      <c r="Z13" s="80">
        <v>12700</v>
      </c>
      <c r="AA13" s="80">
        <v>0</v>
      </c>
      <c r="AB13" s="80">
        <v>495</v>
      </c>
      <c r="AC13" s="81">
        <v>13337</v>
      </c>
      <c r="AD13" s="81">
        <v>0</v>
      </c>
      <c r="AE13" s="81">
        <v>0</v>
      </c>
      <c r="AF13" s="80"/>
      <c r="AG13" s="81">
        <v>0</v>
      </c>
    </row>
    <row r="14" spans="1:33">
      <c r="A14" s="74" t="s">
        <v>60</v>
      </c>
      <c r="B14" s="75" t="s">
        <v>68</v>
      </c>
      <c r="C14" s="24" t="s">
        <v>103</v>
      </c>
      <c r="D14" s="77">
        <v>102094</v>
      </c>
      <c r="E14" s="77">
        <v>3</v>
      </c>
      <c r="F14" s="78">
        <f t="shared" si="0"/>
        <v>295806</v>
      </c>
      <c r="G14" s="79">
        <f t="shared" si="1"/>
        <v>283312</v>
      </c>
      <c r="H14" s="80">
        <v>259483</v>
      </c>
      <c r="I14" s="81">
        <v>243731</v>
      </c>
      <c r="J14" s="80">
        <v>816</v>
      </c>
      <c r="K14" s="81">
        <v>366</v>
      </c>
      <c r="L14" s="80">
        <v>35507</v>
      </c>
      <c r="M14" s="80"/>
      <c r="N14" s="80"/>
      <c r="O14" s="81">
        <v>39215</v>
      </c>
      <c r="P14" s="81"/>
      <c r="Q14" s="81"/>
      <c r="R14" s="80"/>
      <c r="S14" s="81"/>
      <c r="T14" s="78">
        <f t="shared" si="2"/>
        <v>19703</v>
      </c>
      <c r="U14" s="79">
        <f t="shared" si="3"/>
        <v>18045</v>
      </c>
      <c r="V14" s="80">
        <v>14276</v>
      </c>
      <c r="W14" s="81">
        <v>12701</v>
      </c>
      <c r="X14" s="80"/>
      <c r="Y14" s="81"/>
      <c r="Z14" s="80">
        <v>5427</v>
      </c>
      <c r="AA14" s="80"/>
      <c r="AB14" s="80"/>
      <c r="AC14" s="81">
        <v>5344</v>
      </c>
      <c r="AD14" s="81"/>
      <c r="AE14" s="81"/>
      <c r="AF14" s="80"/>
      <c r="AG14" s="81"/>
    </row>
    <row r="15" spans="1:33">
      <c r="A15" s="74" t="s">
        <v>60</v>
      </c>
      <c r="B15" s="75" t="s">
        <v>69</v>
      </c>
      <c r="C15" s="24"/>
      <c r="D15" s="77">
        <v>100724</v>
      </c>
      <c r="E15" s="77">
        <v>4</v>
      </c>
      <c r="F15" s="78">
        <f t="shared" si="0"/>
        <v>146482</v>
      </c>
      <c r="G15" s="79">
        <f t="shared" si="1"/>
        <v>136889</v>
      </c>
      <c r="H15" s="80">
        <v>130727</v>
      </c>
      <c r="I15" s="81">
        <v>118679</v>
      </c>
      <c r="J15" s="80">
        <v>0</v>
      </c>
      <c r="K15" s="81">
        <v>0</v>
      </c>
      <c r="L15" s="80">
        <v>15755</v>
      </c>
      <c r="M15" s="80"/>
      <c r="N15" s="80"/>
      <c r="O15" s="81">
        <v>18210</v>
      </c>
      <c r="P15" s="81"/>
      <c r="Q15" s="81"/>
      <c r="R15" s="80"/>
      <c r="S15" s="81"/>
      <c r="T15" s="78">
        <f t="shared" si="2"/>
        <v>14175</v>
      </c>
      <c r="U15" s="79">
        <f t="shared" si="3"/>
        <v>14183</v>
      </c>
      <c r="V15" s="80">
        <v>11985</v>
      </c>
      <c r="W15" s="81">
        <v>11707</v>
      </c>
      <c r="X15" s="80">
        <v>0</v>
      </c>
      <c r="Y15" s="81"/>
      <c r="Z15" s="80">
        <v>2190</v>
      </c>
      <c r="AA15" s="80"/>
      <c r="AB15" s="80"/>
      <c r="AC15" s="81">
        <v>2476</v>
      </c>
      <c r="AD15" s="81"/>
      <c r="AE15" s="81"/>
      <c r="AF15" s="80"/>
      <c r="AG15" s="81"/>
    </row>
    <row r="16" spans="1:33">
      <c r="A16" s="74" t="s">
        <v>60</v>
      </c>
      <c r="B16" s="75" t="s">
        <v>70</v>
      </c>
      <c r="C16" s="24"/>
      <c r="D16" s="77">
        <v>100830</v>
      </c>
      <c r="E16" s="77">
        <v>4</v>
      </c>
      <c r="F16" s="78">
        <f t="shared" si="0"/>
        <v>105529</v>
      </c>
      <c r="G16" s="79">
        <f t="shared" si="1"/>
        <v>108549</v>
      </c>
      <c r="H16" s="80">
        <v>85468</v>
      </c>
      <c r="I16" s="81">
        <v>84448</v>
      </c>
      <c r="J16" s="80">
        <v>189</v>
      </c>
      <c r="K16" s="81">
        <v>272</v>
      </c>
      <c r="L16" s="80">
        <v>19872</v>
      </c>
      <c r="M16" s="80"/>
      <c r="N16" s="80"/>
      <c r="O16" s="81">
        <v>23829</v>
      </c>
      <c r="P16" s="81"/>
      <c r="Q16" s="81"/>
      <c r="R16" s="80"/>
      <c r="S16" s="81"/>
      <c r="T16" s="78">
        <f t="shared" si="2"/>
        <v>9963</v>
      </c>
      <c r="U16" s="79">
        <f t="shared" si="3"/>
        <v>9726</v>
      </c>
      <c r="V16" s="80">
        <v>4492</v>
      </c>
      <c r="W16" s="81">
        <v>3758</v>
      </c>
      <c r="X16" s="80">
        <v>0</v>
      </c>
      <c r="Y16" s="81">
        <v>0</v>
      </c>
      <c r="Z16" s="80">
        <v>5471</v>
      </c>
      <c r="AA16" s="80"/>
      <c r="AB16" s="80"/>
      <c r="AC16" s="81">
        <v>5968</v>
      </c>
      <c r="AD16" s="81"/>
      <c r="AE16" s="81"/>
      <c r="AF16" s="80"/>
      <c r="AG16" s="81"/>
    </row>
    <row r="17" spans="1:33">
      <c r="A17" s="74" t="s">
        <v>60</v>
      </c>
      <c r="B17" s="75" t="s">
        <v>71</v>
      </c>
      <c r="C17" s="83"/>
      <c r="D17" s="77">
        <v>101879</v>
      </c>
      <c r="E17" s="84">
        <v>3</v>
      </c>
      <c r="F17" s="78">
        <f t="shared" si="0"/>
        <v>160248</v>
      </c>
      <c r="G17" s="79">
        <f t="shared" si="1"/>
        <v>159806</v>
      </c>
      <c r="H17" s="80">
        <v>130612</v>
      </c>
      <c r="I17" s="81">
        <v>126835</v>
      </c>
      <c r="J17" s="80"/>
      <c r="K17" s="81"/>
      <c r="L17" s="80">
        <v>29636</v>
      </c>
      <c r="M17" s="80"/>
      <c r="N17" s="80"/>
      <c r="O17" s="81">
        <v>32971</v>
      </c>
      <c r="P17" s="81"/>
      <c r="Q17" s="81"/>
      <c r="R17" s="80"/>
      <c r="S17" s="81"/>
      <c r="T17" s="78">
        <f t="shared" si="2"/>
        <v>16454</v>
      </c>
      <c r="U17" s="79">
        <f t="shared" si="3"/>
        <v>17334</v>
      </c>
      <c r="V17" s="80">
        <v>6731</v>
      </c>
      <c r="W17" s="81">
        <v>4150</v>
      </c>
      <c r="X17" s="80"/>
      <c r="Y17" s="81"/>
      <c r="Z17" s="80">
        <v>9723</v>
      </c>
      <c r="AA17" s="80"/>
      <c r="AB17" s="80"/>
      <c r="AC17" s="81">
        <v>13184</v>
      </c>
      <c r="AD17" s="81"/>
      <c r="AE17" s="81"/>
      <c r="AF17" s="80"/>
      <c r="AG17" s="81"/>
    </row>
    <row r="18" spans="1:33">
      <c r="A18" s="74" t="s">
        <v>60</v>
      </c>
      <c r="B18" s="75" t="s">
        <v>72</v>
      </c>
      <c r="C18" s="24"/>
      <c r="D18" s="77">
        <v>101709</v>
      </c>
      <c r="E18" s="77">
        <v>5</v>
      </c>
      <c r="F18" s="78">
        <f t="shared" si="0"/>
        <v>67694</v>
      </c>
      <c r="G18" s="79">
        <f t="shared" si="1"/>
        <v>64610</v>
      </c>
      <c r="H18" s="80">
        <v>64490</v>
      </c>
      <c r="I18" s="81">
        <v>61015</v>
      </c>
      <c r="J18" s="80">
        <v>12</v>
      </c>
      <c r="K18" s="81">
        <v>0</v>
      </c>
      <c r="L18" s="80">
        <v>3192</v>
      </c>
      <c r="M18" s="80"/>
      <c r="N18" s="80"/>
      <c r="O18" s="81">
        <v>3595</v>
      </c>
      <c r="P18" s="81"/>
      <c r="Q18" s="81"/>
      <c r="R18" s="80"/>
      <c r="S18" s="81"/>
      <c r="T18" s="78">
        <f t="shared" si="2"/>
        <v>7914</v>
      </c>
      <c r="U18" s="79">
        <f t="shared" si="3"/>
        <v>7317</v>
      </c>
      <c r="V18" s="80">
        <v>6660</v>
      </c>
      <c r="W18" s="81">
        <v>5803</v>
      </c>
      <c r="X18" s="80">
        <v>12</v>
      </c>
      <c r="Y18" s="81">
        <v>357</v>
      </c>
      <c r="Z18" s="80">
        <v>1242</v>
      </c>
      <c r="AA18" s="80"/>
      <c r="AB18" s="80"/>
      <c r="AC18" s="81">
        <v>1157</v>
      </c>
      <c r="AD18" s="81"/>
      <c r="AE18" s="81"/>
      <c r="AF18" s="80"/>
      <c r="AG18" s="81"/>
    </row>
    <row r="19" spans="1:33">
      <c r="A19" s="74" t="s">
        <v>60</v>
      </c>
      <c r="B19" s="75" t="s">
        <v>73</v>
      </c>
      <c r="C19" s="24"/>
      <c r="D19" s="77">
        <v>101587</v>
      </c>
      <c r="E19" s="77">
        <v>5</v>
      </c>
      <c r="F19" s="78">
        <f t="shared" si="0"/>
        <v>55155</v>
      </c>
      <c r="G19" s="79">
        <f t="shared" si="1"/>
        <v>57951</v>
      </c>
      <c r="H19" s="80">
        <v>48354</v>
      </c>
      <c r="I19" s="81">
        <v>48758</v>
      </c>
      <c r="J19" s="80">
        <v>372</v>
      </c>
      <c r="K19" s="81">
        <v>336</v>
      </c>
      <c r="L19" s="80">
        <v>6429</v>
      </c>
      <c r="M19" s="80"/>
      <c r="N19" s="80"/>
      <c r="O19" s="81">
        <v>8857</v>
      </c>
      <c r="P19" s="81"/>
      <c r="Q19" s="81"/>
      <c r="R19" s="80"/>
      <c r="S19" s="81"/>
      <c r="T19" s="78">
        <f t="shared" si="2"/>
        <v>35704</v>
      </c>
      <c r="U19" s="79">
        <f t="shared" si="3"/>
        <v>44276</v>
      </c>
      <c r="V19" s="80">
        <v>2047</v>
      </c>
      <c r="W19" s="81">
        <v>1474</v>
      </c>
      <c r="X19" s="80">
        <v>0</v>
      </c>
      <c r="Y19" s="81"/>
      <c r="Z19" s="80">
        <v>33657</v>
      </c>
      <c r="AA19" s="80"/>
      <c r="AB19" s="80"/>
      <c r="AC19" s="81">
        <v>42802</v>
      </c>
      <c r="AD19" s="81"/>
      <c r="AE19" s="81"/>
      <c r="AF19" s="80"/>
      <c r="AG19" s="81"/>
    </row>
    <row r="20" spans="1:33">
      <c r="A20" s="74" t="s">
        <v>60</v>
      </c>
      <c r="B20" s="75" t="s">
        <v>74</v>
      </c>
      <c r="C20" s="24"/>
      <c r="D20" s="74" t="s">
        <v>75</v>
      </c>
      <c r="E20" s="77">
        <v>6</v>
      </c>
      <c r="F20" s="78">
        <f t="shared" si="0"/>
        <v>69518</v>
      </c>
      <c r="G20" s="79">
        <f t="shared" si="1"/>
        <v>67015</v>
      </c>
      <c r="H20" s="80">
        <v>14275</v>
      </c>
      <c r="I20" s="81">
        <v>12957</v>
      </c>
      <c r="J20" s="80">
        <v>2877</v>
      </c>
      <c r="K20" s="81">
        <v>2382</v>
      </c>
      <c r="L20" s="80">
        <v>52366</v>
      </c>
      <c r="M20" s="80"/>
      <c r="N20" s="80"/>
      <c r="O20" s="81">
        <v>51676</v>
      </c>
      <c r="P20" s="81"/>
      <c r="Q20" s="81"/>
      <c r="R20" s="80"/>
      <c r="S20" s="81"/>
      <c r="T20" s="78">
        <f t="shared" si="2"/>
        <v>309</v>
      </c>
      <c r="U20" s="79">
        <f t="shared" si="3"/>
        <v>1236</v>
      </c>
      <c r="V20" s="80"/>
      <c r="W20" s="81">
        <v>18</v>
      </c>
      <c r="X20" s="80"/>
      <c r="Y20" s="81"/>
      <c r="Z20" s="80">
        <v>309</v>
      </c>
      <c r="AA20" s="80"/>
      <c r="AB20" s="80"/>
      <c r="AC20" s="81">
        <v>1218</v>
      </c>
      <c r="AD20" s="81"/>
      <c r="AE20" s="81"/>
      <c r="AF20" s="80"/>
      <c r="AG20" s="81"/>
    </row>
    <row r="21" spans="1:33">
      <c r="A21" s="74" t="s">
        <v>60</v>
      </c>
      <c r="B21" s="75" t="s">
        <v>76</v>
      </c>
      <c r="C21" s="24"/>
      <c r="D21" s="77">
        <v>101505</v>
      </c>
      <c r="E21" s="77">
        <v>8</v>
      </c>
      <c r="F21" s="78">
        <f t="shared" si="0"/>
        <v>169629</v>
      </c>
      <c r="G21" s="79">
        <f t="shared" si="1"/>
        <v>168065</v>
      </c>
      <c r="H21" s="80">
        <v>90257</v>
      </c>
      <c r="I21" s="81">
        <v>85830</v>
      </c>
      <c r="J21" s="80">
        <v>23647</v>
      </c>
      <c r="K21" s="81">
        <v>23975</v>
      </c>
      <c r="L21" s="80">
        <v>54111</v>
      </c>
      <c r="M21" s="80">
        <v>1614</v>
      </c>
      <c r="N21" s="80">
        <v>0</v>
      </c>
      <c r="O21" s="81">
        <v>56666</v>
      </c>
      <c r="P21" s="81">
        <v>1594</v>
      </c>
      <c r="Q21" s="81"/>
      <c r="R21" s="80"/>
      <c r="S21" s="81"/>
      <c r="T21" s="78">
        <f t="shared" si="2"/>
        <v>0</v>
      </c>
      <c r="U21" s="79">
        <f t="shared" si="3"/>
        <v>0</v>
      </c>
      <c r="V21" s="80"/>
      <c r="W21" s="81"/>
      <c r="X21" s="80"/>
      <c r="Y21" s="81"/>
      <c r="Z21" s="80"/>
      <c r="AA21" s="80"/>
      <c r="AB21" s="80"/>
      <c r="AC21" s="81"/>
      <c r="AD21" s="81"/>
      <c r="AE21" s="81"/>
      <c r="AF21" s="80"/>
      <c r="AG21" s="81"/>
    </row>
    <row r="22" spans="1:33">
      <c r="A22" s="74" t="s">
        <v>60</v>
      </c>
      <c r="B22" s="75" t="s">
        <v>77</v>
      </c>
      <c r="C22" s="24"/>
      <c r="D22" s="77">
        <v>101514</v>
      </c>
      <c r="E22" s="77">
        <v>8</v>
      </c>
      <c r="F22" s="78">
        <f t="shared" si="0"/>
        <v>206179</v>
      </c>
      <c r="G22" s="79">
        <f t="shared" si="1"/>
        <v>199357</v>
      </c>
      <c r="H22" s="80">
        <v>141754</v>
      </c>
      <c r="I22" s="81">
        <v>132189</v>
      </c>
      <c r="J22" s="80">
        <v>0</v>
      </c>
      <c r="K22" s="81">
        <v>0</v>
      </c>
      <c r="L22" s="80">
        <v>64425</v>
      </c>
      <c r="M22" s="80"/>
      <c r="N22" s="80"/>
      <c r="O22" s="81">
        <v>67168</v>
      </c>
      <c r="P22" s="81"/>
      <c r="Q22" s="81"/>
      <c r="R22" s="80"/>
      <c r="S22" s="81"/>
      <c r="T22" s="78">
        <f t="shared" si="2"/>
        <v>0</v>
      </c>
      <c r="U22" s="79">
        <f t="shared" si="3"/>
        <v>0</v>
      </c>
      <c r="V22" s="80"/>
      <c r="W22" s="81"/>
      <c r="X22" s="80"/>
      <c r="Y22" s="81"/>
      <c r="Z22" s="80"/>
      <c r="AA22" s="80"/>
      <c r="AB22" s="80"/>
      <c r="AC22" s="81"/>
      <c r="AD22" s="81"/>
      <c r="AE22" s="81"/>
      <c r="AF22" s="80"/>
      <c r="AG22" s="81"/>
    </row>
    <row r="23" spans="1:33">
      <c r="A23" s="74" t="s">
        <v>60</v>
      </c>
      <c r="B23" s="75" t="s">
        <v>78</v>
      </c>
      <c r="C23" s="24"/>
      <c r="D23" s="77">
        <v>102429</v>
      </c>
      <c r="E23" s="77">
        <v>9</v>
      </c>
      <c r="F23" s="78">
        <f t="shared" si="0"/>
        <v>86647</v>
      </c>
      <c r="G23" s="79">
        <f t="shared" si="1"/>
        <v>84465</v>
      </c>
      <c r="H23" s="80">
        <v>21712</v>
      </c>
      <c r="I23" s="81">
        <v>21157</v>
      </c>
      <c r="J23" s="80">
        <v>41583</v>
      </c>
      <c r="K23" s="81">
        <v>40500</v>
      </c>
      <c r="L23" s="80">
        <v>19177</v>
      </c>
      <c r="M23" s="80">
        <v>4175</v>
      </c>
      <c r="N23" s="80">
        <v>0</v>
      </c>
      <c r="O23" s="81">
        <v>20181</v>
      </c>
      <c r="P23" s="81">
        <v>2627</v>
      </c>
      <c r="Q23" s="81"/>
      <c r="R23" s="80"/>
      <c r="S23" s="81"/>
      <c r="T23" s="78">
        <f t="shared" si="2"/>
        <v>0</v>
      </c>
      <c r="U23" s="79">
        <f t="shared" si="3"/>
        <v>0</v>
      </c>
      <c r="V23" s="80"/>
      <c r="W23" s="81"/>
      <c r="X23" s="80"/>
      <c r="Y23" s="81"/>
      <c r="Z23" s="80"/>
      <c r="AA23" s="80"/>
      <c r="AB23" s="80"/>
      <c r="AC23" s="81"/>
      <c r="AD23" s="81"/>
      <c r="AE23" s="81"/>
      <c r="AF23" s="80"/>
      <c r="AG23" s="81"/>
    </row>
    <row r="24" spans="1:33">
      <c r="A24" s="74" t="s">
        <v>60</v>
      </c>
      <c r="B24" s="85" t="s">
        <v>79</v>
      </c>
      <c r="C24" s="23"/>
      <c r="D24" s="77">
        <v>102030</v>
      </c>
      <c r="E24" s="77">
        <v>9</v>
      </c>
      <c r="F24" s="78">
        <f t="shared" si="0"/>
        <v>69087</v>
      </c>
      <c r="G24" s="79">
        <f t="shared" si="1"/>
        <v>70231</v>
      </c>
      <c r="H24" s="80">
        <v>60487</v>
      </c>
      <c r="I24" s="81">
        <v>60730</v>
      </c>
      <c r="J24" s="80">
        <v>306</v>
      </c>
      <c r="K24" s="81">
        <v>342</v>
      </c>
      <c r="L24" s="80">
        <v>6839</v>
      </c>
      <c r="M24" s="80"/>
      <c r="N24" s="80">
        <v>1455</v>
      </c>
      <c r="O24" s="81">
        <v>7540</v>
      </c>
      <c r="P24" s="81"/>
      <c r="Q24" s="81">
        <v>1619</v>
      </c>
      <c r="R24" s="80">
        <v>0</v>
      </c>
      <c r="S24" s="81"/>
      <c r="T24" s="78">
        <f t="shared" si="2"/>
        <v>0</v>
      </c>
      <c r="U24" s="79">
        <f t="shared" si="3"/>
        <v>0</v>
      </c>
      <c r="V24" s="80"/>
      <c r="W24" s="81"/>
      <c r="X24" s="80"/>
      <c r="Y24" s="81"/>
      <c r="Z24" s="80"/>
      <c r="AA24" s="80"/>
      <c r="AB24" s="80"/>
      <c r="AC24" s="81"/>
      <c r="AD24" s="81"/>
      <c r="AE24" s="81"/>
      <c r="AF24" s="80"/>
      <c r="AG24" s="81"/>
    </row>
    <row r="25" spans="1:33">
      <c r="A25" s="74" t="s">
        <v>60</v>
      </c>
      <c r="B25" s="75" t="s">
        <v>80</v>
      </c>
      <c r="C25" s="83"/>
      <c r="D25" s="77">
        <v>101143</v>
      </c>
      <c r="E25" s="77">
        <v>10</v>
      </c>
      <c r="F25" s="78">
        <f t="shared" si="0"/>
        <v>40792</v>
      </c>
      <c r="G25" s="79">
        <f t="shared" si="1"/>
        <v>39685</v>
      </c>
      <c r="H25" s="80">
        <v>30132</v>
      </c>
      <c r="I25" s="81">
        <v>29776</v>
      </c>
      <c r="J25" s="80">
        <v>0</v>
      </c>
      <c r="K25" s="81">
        <v>0</v>
      </c>
      <c r="L25" s="80">
        <v>10660</v>
      </c>
      <c r="M25" s="80"/>
      <c r="N25" s="80">
        <v>0</v>
      </c>
      <c r="O25" s="81">
        <v>9909</v>
      </c>
      <c r="P25" s="81"/>
      <c r="Q25" s="81"/>
      <c r="R25" s="80"/>
      <c r="S25" s="81"/>
      <c r="T25" s="78">
        <f t="shared" si="2"/>
        <v>0</v>
      </c>
      <c r="U25" s="79">
        <f t="shared" si="3"/>
        <v>0</v>
      </c>
      <c r="V25" s="80"/>
      <c r="W25" s="81"/>
      <c r="X25" s="80"/>
      <c r="Y25" s="81"/>
      <c r="Z25" s="80"/>
      <c r="AA25" s="80"/>
      <c r="AB25" s="80"/>
      <c r="AC25" s="81"/>
      <c r="AD25" s="81"/>
      <c r="AE25" s="81"/>
      <c r="AF25" s="80"/>
      <c r="AG25" s="81"/>
    </row>
    <row r="26" spans="1:33">
      <c r="A26" s="74" t="s">
        <v>60</v>
      </c>
      <c r="B26" s="75" t="s">
        <v>81</v>
      </c>
      <c r="C26" s="83"/>
      <c r="D26" s="77">
        <v>101240</v>
      </c>
      <c r="E26" s="86">
        <v>9</v>
      </c>
      <c r="F26" s="78">
        <f t="shared" si="0"/>
        <v>117963</v>
      </c>
      <c r="G26" s="79">
        <f t="shared" si="1"/>
        <v>113194</v>
      </c>
      <c r="H26" s="80">
        <v>91793</v>
      </c>
      <c r="I26" s="81">
        <v>85136</v>
      </c>
      <c r="J26" s="80">
        <v>0</v>
      </c>
      <c r="K26" s="81">
        <v>0</v>
      </c>
      <c r="L26" s="80">
        <v>26170</v>
      </c>
      <c r="M26" s="80"/>
      <c r="N26" s="80">
        <v>0</v>
      </c>
      <c r="O26" s="81">
        <v>28058</v>
      </c>
      <c r="P26" s="81"/>
      <c r="Q26" s="81"/>
      <c r="R26" s="80"/>
      <c r="S26" s="81"/>
      <c r="T26" s="78">
        <f t="shared" si="2"/>
        <v>0</v>
      </c>
      <c r="U26" s="79">
        <f t="shared" si="3"/>
        <v>0</v>
      </c>
      <c r="V26" s="80"/>
      <c r="W26" s="81"/>
      <c r="X26" s="80"/>
      <c r="Y26" s="81"/>
      <c r="Z26" s="80"/>
      <c r="AA26" s="80"/>
      <c r="AB26" s="80"/>
      <c r="AC26" s="81"/>
      <c r="AD26" s="81"/>
      <c r="AE26" s="81"/>
      <c r="AF26" s="80"/>
      <c r="AG26" s="81"/>
    </row>
    <row r="27" spans="1:33">
      <c r="A27" s="74" t="s">
        <v>60</v>
      </c>
      <c r="B27" s="75" t="s">
        <v>82</v>
      </c>
      <c r="C27" s="24"/>
      <c r="D27" s="77">
        <v>101286</v>
      </c>
      <c r="E27" s="77">
        <v>9</v>
      </c>
      <c r="F27" s="78">
        <f t="shared" si="0"/>
        <v>99928</v>
      </c>
      <c r="G27" s="79">
        <f t="shared" si="1"/>
        <v>98184</v>
      </c>
      <c r="H27" s="80">
        <v>72473</v>
      </c>
      <c r="I27" s="81">
        <v>67703</v>
      </c>
      <c r="J27" s="80">
        <v>5834</v>
      </c>
      <c r="K27" s="81">
        <v>7391</v>
      </c>
      <c r="L27" s="80">
        <v>21621</v>
      </c>
      <c r="M27" s="80"/>
      <c r="N27" s="80">
        <v>0</v>
      </c>
      <c r="O27" s="81">
        <v>23090</v>
      </c>
      <c r="P27" s="81"/>
      <c r="Q27" s="81"/>
      <c r="R27" s="80"/>
      <c r="S27" s="81"/>
      <c r="T27" s="78">
        <f t="shared" si="2"/>
        <v>0</v>
      </c>
      <c r="U27" s="79">
        <f t="shared" si="3"/>
        <v>0</v>
      </c>
      <c r="V27" s="80"/>
      <c r="W27" s="81"/>
      <c r="X27" s="80"/>
      <c r="Y27" s="81"/>
      <c r="Z27" s="80"/>
      <c r="AA27" s="80"/>
      <c r="AB27" s="80"/>
      <c r="AC27" s="81"/>
      <c r="AD27" s="81"/>
      <c r="AE27" s="81"/>
      <c r="AF27" s="80"/>
      <c r="AG27" s="81"/>
    </row>
    <row r="28" spans="1:33">
      <c r="A28" s="74" t="s">
        <v>60</v>
      </c>
      <c r="B28" s="75" t="s">
        <v>83</v>
      </c>
      <c r="C28" s="24"/>
      <c r="D28" s="77">
        <v>101161</v>
      </c>
      <c r="E28" s="77">
        <v>9</v>
      </c>
      <c r="F28" s="78">
        <f t="shared" si="0"/>
        <v>114993</v>
      </c>
      <c r="G28" s="79">
        <f t="shared" si="1"/>
        <v>64818</v>
      </c>
      <c r="H28" s="80">
        <v>51227</v>
      </c>
      <c r="I28" s="81">
        <v>24218</v>
      </c>
      <c r="J28" s="80">
        <v>33031</v>
      </c>
      <c r="K28" s="81">
        <v>19041</v>
      </c>
      <c r="L28" s="80">
        <v>29826</v>
      </c>
      <c r="M28" s="80"/>
      <c r="N28" s="80">
        <v>909</v>
      </c>
      <c r="O28" s="81">
        <v>21559</v>
      </c>
      <c r="P28" s="81"/>
      <c r="Q28" s="81"/>
      <c r="R28" s="80">
        <v>0</v>
      </c>
      <c r="S28" s="81"/>
      <c r="T28" s="78">
        <f t="shared" si="2"/>
        <v>0</v>
      </c>
      <c r="U28" s="79">
        <f t="shared" si="3"/>
        <v>0</v>
      </c>
      <c r="V28" s="80"/>
      <c r="W28" s="81"/>
      <c r="X28" s="80"/>
      <c r="Y28" s="81"/>
      <c r="Z28" s="80"/>
      <c r="AA28" s="80"/>
      <c r="AB28" s="80"/>
      <c r="AC28" s="81"/>
      <c r="AD28" s="81"/>
      <c r="AE28" s="81"/>
      <c r="AF28" s="80"/>
      <c r="AG28" s="81"/>
    </row>
    <row r="29" spans="1:33">
      <c r="A29" s="74" t="s">
        <v>60</v>
      </c>
      <c r="B29" s="75" t="s">
        <v>84</v>
      </c>
      <c r="C29" s="24"/>
      <c r="D29" s="77">
        <v>101569</v>
      </c>
      <c r="E29" s="77">
        <v>9</v>
      </c>
      <c r="F29" s="78">
        <f t="shared" si="0"/>
        <v>74362</v>
      </c>
      <c r="G29" s="79">
        <f t="shared" si="1"/>
        <v>72421</v>
      </c>
      <c r="H29" s="80">
        <v>63558</v>
      </c>
      <c r="I29" s="81">
        <v>61566</v>
      </c>
      <c r="J29" s="80">
        <v>361</v>
      </c>
      <c r="K29" s="81">
        <v>603</v>
      </c>
      <c r="L29" s="80">
        <v>10443</v>
      </c>
      <c r="M29" s="80"/>
      <c r="N29" s="80">
        <v>0</v>
      </c>
      <c r="O29" s="81">
        <v>10252</v>
      </c>
      <c r="P29" s="81"/>
      <c r="Q29" s="81"/>
      <c r="R29" s="80"/>
      <c r="S29" s="81"/>
      <c r="T29" s="78">
        <f t="shared" si="2"/>
        <v>0</v>
      </c>
      <c r="U29" s="79">
        <f t="shared" si="3"/>
        <v>0</v>
      </c>
      <c r="V29" s="80"/>
      <c r="W29" s="81"/>
      <c r="X29" s="80"/>
      <c r="Y29" s="81"/>
      <c r="Z29" s="80"/>
      <c r="AA29" s="80"/>
      <c r="AB29" s="80"/>
      <c r="AC29" s="81"/>
      <c r="AD29" s="81"/>
      <c r="AE29" s="81"/>
      <c r="AF29" s="80"/>
      <c r="AG29" s="81"/>
    </row>
    <row r="30" spans="1:33">
      <c r="A30" s="74" t="s">
        <v>60</v>
      </c>
      <c r="B30" s="85" t="s">
        <v>85</v>
      </c>
      <c r="C30" s="22" t="s">
        <v>104</v>
      </c>
      <c r="D30" s="77">
        <v>101897</v>
      </c>
      <c r="E30" s="21">
        <v>10</v>
      </c>
      <c r="F30" s="78">
        <f t="shared" si="0"/>
        <v>57174</v>
      </c>
      <c r="G30" s="79">
        <f t="shared" si="1"/>
        <v>56464</v>
      </c>
      <c r="H30" s="80">
        <v>36993</v>
      </c>
      <c r="I30" s="81">
        <v>34504</v>
      </c>
      <c r="J30" s="80">
        <v>4647</v>
      </c>
      <c r="K30" s="81">
        <v>4596</v>
      </c>
      <c r="L30" s="80">
        <v>15534</v>
      </c>
      <c r="M30" s="80"/>
      <c r="N30" s="80"/>
      <c r="O30" s="81">
        <v>17364</v>
      </c>
      <c r="P30" s="81"/>
      <c r="Q30" s="81"/>
      <c r="R30" s="80"/>
      <c r="S30" s="81"/>
      <c r="T30" s="78">
        <f t="shared" si="2"/>
        <v>0</v>
      </c>
      <c r="U30" s="79">
        <f t="shared" si="3"/>
        <v>0</v>
      </c>
      <c r="V30" s="80"/>
      <c r="W30" s="81"/>
      <c r="X30" s="80"/>
      <c r="Y30" s="81"/>
      <c r="Z30" s="80"/>
      <c r="AA30" s="80"/>
      <c r="AB30" s="80"/>
      <c r="AC30" s="81"/>
      <c r="AD30" s="81"/>
      <c r="AE30" s="81"/>
      <c r="AF30" s="80"/>
      <c r="AG30" s="81"/>
    </row>
    <row r="31" spans="1:33">
      <c r="A31" s="74" t="s">
        <v>60</v>
      </c>
      <c r="B31" s="75" t="s">
        <v>86</v>
      </c>
      <c r="C31" s="76"/>
      <c r="D31" s="77">
        <v>101736</v>
      </c>
      <c r="E31" s="77">
        <v>9</v>
      </c>
      <c r="F31" s="78">
        <f t="shared" si="0"/>
        <v>74377</v>
      </c>
      <c r="G31" s="79">
        <f t="shared" si="1"/>
        <v>69257</v>
      </c>
      <c r="H31" s="80">
        <v>62214</v>
      </c>
      <c r="I31" s="81">
        <v>57223</v>
      </c>
      <c r="J31" s="80">
        <v>57</v>
      </c>
      <c r="K31" s="81">
        <v>45</v>
      </c>
      <c r="L31" s="80">
        <v>11051</v>
      </c>
      <c r="M31" s="80">
        <v>1055</v>
      </c>
      <c r="N31" s="80">
        <v>0</v>
      </c>
      <c r="O31" s="81">
        <v>11114</v>
      </c>
      <c r="P31" s="81">
        <v>875</v>
      </c>
      <c r="Q31" s="81"/>
      <c r="R31" s="80"/>
      <c r="S31" s="81"/>
      <c r="T31" s="78">
        <f t="shared" si="2"/>
        <v>0</v>
      </c>
      <c r="U31" s="79">
        <f t="shared" si="3"/>
        <v>0</v>
      </c>
      <c r="V31" s="80"/>
      <c r="W31" s="81"/>
      <c r="X31" s="80"/>
      <c r="Y31" s="81"/>
      <c r="Z31" s="80"/>
      <c r="AA31" s="80"/>
      <c r="AB31" s="80"/>
      <c r="AC31" s="81"/>
      <c r="AD31" s="81"/>
      <c r="AE31" s="81"/>
      <c r="AF31" s="80"/>
      <c r="AG31" s="81"/>
    </row>
    <row r="32" spans="1:33">
      <c r="A32" s="74" t="s">
        <v>60</v>
      </c>
      <c r="B32" s="75" t="s">
        <v>87</v>
      </c>
      <c r="C32" s="76"/>
      <c r="D32" s="77">
        <v>102067</v>
      </c>
      <c r="E32" s="77">
        <v>9</v>
      </c>
      <c r="F32" s="78">
        <f t="shared" si="0"/>
        <v>108452</v>
      </c>
      <c r="G32" s="79">
        <f t="shared" si="1"/>
        <v>108232</v>
      </c>
      <c r="H32" s="80">
        <v>92884</v>
      </c>
      <c r="I32" s="81">
        <v>86669</v>
      </c>
      <c r="J32" s="80">
        <v>0</v>
      </c>
      <c r="K32" s="81">
        <v>0</v>
      </c>
      <c r="L32" s="80">
        <v>15568</v>
      </c>
      <c r="M32" s="80"/>
      <c r="N32" s="80">
        <v>0</v>
      </c>
      <c r="O32" s="81">
        <v>21563</v>
      </c>
      <c r="P32" s="81"/>
      <c r="Q32" s="81"/>
      <c r="R32" s="80"/>
      <c r="S32" s="81"/>
      <c r="T32" s="78">
        <f t="shared" si="2"/>
        <v>0</v>
      </c>
      <c r="U32" s="79">
        <f t="shared" si="3"/>
        <v>0</v>
      </c>
      <c r="V32" s="80"/>
      <c r="W32" s="81"/>
      <c r="X32" s="80"/>
      <c r="Y32" s="81"/>
      <c r="Z32" s="80"/>
      <c r="AA32" s="80"/>
      <c r="AB32" s="80"/>
      <c r="AC32" s="81"/>
      <c r="AD32" s="81"/>
      <c r="AE32" s="81"/>
      <c r="AF32" s="80"/>
      <c r="AG32" s="81"/>
    </row>
    <row r="33" spans="1:33">
      <c r="A33" s="74" t="s">
        <v>60</v>
      </c>
      <c r="B33" s="75" t="s">
        <v>88</v>
      </c>
      <c r="C33" s="76"/>
      <c r="D33" s="77">
        <v>251260</v>
      </c>
      <c r="E33" s="77">
        <v>9</v>
      </c>
      <c r="F33" s="78">
        <f t="shared" si="0"/>
        <v>115248</v>
      </c>
      <c r="G33" s="79">
        <f t="shared" si="1"/>
        <v>114991</v>
      </c>
      <c r="H33" s="80">
        <v>14599</v>
      </c>
      <c r="I33" s="81">
        <v>14612</v>
      </c>
      <c r="J33" s="80">
        <v>82176</v>
      </c>
      <c r="K33" s="81">
        <v>81614</v>
      </c>
      <c r="L33" s="80">
        <v>18473</v>
      </c>
      <c r="M33" s="80"/>
      <c r="N33" s="80"/>
      <c r="O33" s="81">
        <v>18765</v>
      </c>
      <c r="P33" s="81"/>
      <c r="Q33" s="81"/>
      <c r="R33" s="80"/>
      <c r="S33" s="81"/>
      <c r="T33" s="78">
        <f t="shared" si="2"/>
        <v>0</v>
      </c>
      <c r="U33" s="79">
        <f t="shared" si="3"/>
        <v>0</v>
      </c>
      <c r="V33" s="80"/>
      <c r="W33" s="81"/>
      <c r="X33" s="80"/>
      <c r="Y33" s="81"/>
      <c r="Z33" s="80"/>
      <c r="AA33" s="80"/>
      <c r="AB33" s="80"/>
      <c r="AC33" s="81"/>
      <c r="AD33" s="81"/>
      <c r="AE33" s="81"/>
      <c r="AF33" s="80"/>
      <c r="AG33" s="81"/>
    </row>
    <row r="34" spans="1:33">
      <c r="A34" s="74" t="s">
        <v>60</v>
      </c>
      <c r="B34" s="75" t="s">
        <v>89</v>
      </c>
      <c r="C34" s="83"/>
      <c r="D34" s="77">
        <v>101295</v>
      </c>
      <c r="E34" s="77">
        <v>9</v>
      </c>
      <c r="F34" s="78">
        <f t="shared" si="0"/>
        <v>129207</v>
      </c>
      <c r="G34" s="79">
        <f t="shared" si="1"/>
        <v>125706</v>
      </c>
      <c r="H34" s="80">
        <v>96147</v>
      </c>
      <c r="I34" s="81">
        <v>93037</v>
      </c>
      <c r="J34" s="80">
        <v>0</v>
      </c>
      <c r="K34" s="81">
        <v>0</v>
      </c>
      <c r="L34" s="80">
        <v>33060</v>
      </c>
      <c r="M34" s="80"/>
      <c r="N34" s="80"/>
      <c r="O34" s="81">
        <v>32669</v>
      </c>
      <c r="P34" s="81"/>
      <c r="Q34" s="81"/>
      <c r="R34" s="80"/>
      <c r="S34" s="81"/>
      <c r="T34" s="78">
        <f t="shared" si="2"/>
        <v>0</v>
      </c>
      <c r="U34" s="79">
        <f t="shared" si="3"/>
        <v>0</v>
      </c>
      <c r="V34" s="80"/>
      <c r="W34" s="81"/>
      <c r="X34" s="80"/>
      <c r="Y34" s="81"/>
      <c r="Z34" s="80"/>
      <c r="AA34" s="80"/>
      <c r="AB34" s="80"/>
      <c r="AC34" s="81"/>
      <c r="AD34" s="81"/>
      <c r="AE34" s="81"/>
      <c r="AF34" s="80"/>
      <c r="AG34" s="81"/>
    </row>
    <row r="35" spans="1:33">
      <c r="A35" s="74" t="s">
        <v>60</v>
      </c>
      <c r="B35" s="75" t="s">
        <v>90</v>
      </c>
      <c r="C35" s="76"/>
      <c r="D35" s="77">
        <v>101949</v>
      </c>
      <c r="E35" s="77">
        <v>10</v>
      </c>
      <c r="F35" s="78">
        <f t="shared" si="0"/>
        <v>32652</v>
      </c>
      <c r="G35" s="79">
        <f t="shared" si="1"/>
        <v>16895</v>
      </c>
      <c r="H35" s="80">
        <v>11818</v>
      </c>
      <c r="I35" s="81">
        <v>7045</v>
      </c>
      <c r="J35" s="80">
        <v>17117</v>
      </c>
      <c r="K35" s="81">
        <v>6815</v>
      </c>
      <c r="L35" s="80">
        <v>3717</v>
      </c>
      <c r="M35" s="80"/>
      <c r="N35" s="80">
        <v>0</v>
      </c>
      <c r="O35" s="81">
        <v>3035</v>
      </c>
      <c r="P35" s="81"/>
      <c r="Q35" s="81"/>
      <c r="R35" s="80"/>
      <c r="S35" s="81"/>
      <c r="T35" s="78">
        <f t="shared" si="2"/>
        <v>0</v>
      </c>
      <c r="U35" s="79">
        <f t="shared" si="3"/>
        <v>0</v>
      </c>
      <c r="V35" s="80"/>
      <c r="W35" s="81"/>
      <c r="X35" s="80"/>
      <c r="Y35" s="81"/>
      <c r="Z35" s="80"/>
      <c r="AA35" s="80"/>
      <c r="AB35" s="80"/>
      <c r="AC35" s="81"/>
      <c r="AD35" s="81"/>
      <c r="AE35" s="81"/>
      <c r="AF35" s="80"/>
      <c r="AG35" s="81"/>
    </row>
    <row r="36" spans="1:33">
      <c r="A36" s="74" t="s">
        <v>60</v>
      </c>
      <c r="B36" s="75" t="s">
        <v>91</v>
      </c>
      <c r="C36" s="83"/>
      <c r="D36" s="77">
        <v>100760</v>
      </c>
      <c r="E36" s="77">
        <v>10</v>
      </c>
      <c r="F36" s="78">
        <f t="shared" si="0"/>
        <v>40957</v>
      </c>
      <c r="G36" s="79">
        <f t="shared" si="1"/>
        <v>39533</v>
      </c>
      <c r="H36" s="80">
        <v>31470</v>
      </c>
      <c r="I36" s="81">
        <v>15563</v>
      </c>
      <c r="J36" s="80">
        <v>0</v>
      </c>
      <c r="K36" s="81">
        <v>0</v>
      </c>
      <c r="L36" s="80">
        <v>9487</v>
      </c>
      <c r="M36" s="80"/>
      <c r="N36" s="80">
        <v>0</v>
      </c>
      <c r="O36" s="81">
        <v>23970</v>
      </c>
      <c r="P36" s="81"/>
      <c r="Q36" s="81"/>
      <c r="R36" s="80"/>
      <c r="S36" s="81"/>
      <c r="T36" s="78">
        <f t="shared" si="2"/>
        <v>0</v>
      </c>
      <c r="U36" s="79">
        <f t="shared" si="3"/>
        <v>0</v>
      </c>
      <c r="V36" s="80"/>
      <c r="W36" s="81"/>
      <c r="X36" s="80"/>
      <c r="Y36" s="81"/>
      <c r="Z36" s="80"/>
      <c r="AA36" s="80"/>
      <c r="AB36" s="80"/>
      <c r="AC36" s="81"/>
      <c r="AD36" s="81"/>
      <c r="AE36" s="81"/>
      <c r="AF36" s="80"/>
      <c r="AG36" s="81"/>
    </row>
    <row r="37" spans="1:33">
      <c r="A37" s="74" t="s">
        <v>60</v>
      </c>
      <c r="B37" s="75" t="s">
        <v>92</v>
      </c>
      <c r="C37" s="76"/>
      <c r="D37" s="77">
        <v>101028</v>
      </c>
      <c r="E37" s="77">
        <v>10</v>
      </c>
      <c r="F37" s="78">
        <f t="shared" si="0"/>
        <v>38520</v>
      </c>
      <c r="G37" s="79">
        <f t="shared" si="1"/>
        <v>35281</v>
      </c>
      <c r="H37" s="80">
        <v>35304</v>
      </c>
      <c r="I37" s="81">
        <v>31519</v>
      </c>
      <c r="J37" s="80">
        <v>217</v>
      </c>
      <c r="K37" s="81">
        <v>165</v>
      </c>
      <c r="L37" s="80">
        <v>2999</v>
      </c>
      <c r="M37" s="80"/>
      <c r="N37" s="80">
        <v>0</v>
      </c>
      <c r="O37" s="81">
        <v>3597</v>
      </c>
      <c r="P37" s="81"/>
      <c r="Q37" s="81"/>
      <c r="R37" s="80"/>
      <c r="S37" s="81"/>
      <c r="T37" s="78">
        <f t="shared" si="2"/>
        <v>0</v>
      </c>
      <c r="U37" s="79">
        <f t="shared" si="3"/>
        <v>0</v>
      </c>
      <c r="V37" s="80"/>
      <c r="W37" s="81"/>
      <c r="X37" s="80"/>
      <c r="Y37" s="81"/>
      <c r="Z37" s="80"/>
      <c r="AA37" s="80"/>
      <c r="AB37" s="80"/>
      <c r="AC37" s="81"/>
      <c r="AD37" s="81"/>
      <c r="AE37" s="81"/>
      <c r="AF37" s="80"/>
      <c r="AG37" s="81"/>
    </row>
    <row r="38" spans="1:33">
      <c r="A38" s="74" t="s">
        <v>60</v>
      </c>
      <c r="B38" s="75" t="s">
        <v>93</v>
      </c>
      <c r="C38" s="76"/>
      <c r="D38" s="77">
        <v>101301</v>
      </c>
      <c r="E38" s="77">
        <v>10</v>
      </c>
      <c r="F38" s="78">
        <f t="shared" si="0"/>
        <v>43915</v>
      </c>
      <c r="G38" s="79">
        <f t="shared" si="1"/>
        <v>40756</v>
      </c>
      <c r="H38" s="80">
        <v>28237</v>
      </c>
      <c r="I38" s="81">
        <v>26128</v>
      </c>
      <c r="J38" s="80">
        <v>0</v>
      </c>
      <c r="K38" s="81">
        <v>0</v>
      </c>
      <c r="L38" s="80">
        <v>15678</v>
      </c>
      <c r="M38" s="80"/>
      <c r="N38" s="80"/>
      <c r="O38" s="81">
        <v>14628</v>
      </c>
      <c r="P38" s="81"/>
      <c r="Q38" s="81"/>
      <c r="R38" s="80"/>
      <c r="S38" s="81"/>
      <c r="T38" s="78">
        <f t="shared" si="2"/>
        <v>0</v>
      </c>
      <c r="U38" s="79">
        <f t="shared" si="3"/>
        <v>0</v>
      </c>
      <c r="V38" s="80"/>
      <c r="W38" s="81"/>
      <c r="X38" s="80"/>
      <c r="Y38" s="81"/>
      <c r="Z38" s="80"/>
      <c r="AA38" s="80"/>
      <c r="AB38" s="80"/>
      <c r="AC38" s="81"/>
      <c r="AD38" s="81"/>
      <c r="AE38" s="81"/>
      <c r="AF38" s="80"/>
      <c r="AG38" s="81"/>
    </row>
    <row r="39" spans="1:33">
      <c r="A39" s="74" t="s">
        <v>60</v>
      </c>
      <c r="B39" s="75" t="s">
        <v>94</v>
      </c>
      <c r="C39" s="76"/>
      <c r="D39" s="77">
        <v>101499</v>
      </c>
      <c r="E39" s="77">
        <v>10</v>
      </c>
      <c r="F39" s="78">
        <f t="shared" si="0"/>
        <v>27600</v>
      </c>
      <c r="G39" s="79">
        <f t="shared" si="1"/>
        <v>14839</v>
      </c>
      <c r="H39" s="80">
        <v>11974</v>
      </c>
      <c r="I39" s="81">
        <v>7207</v>
      </c>
      <c r="J39" s="80">
        <v>11803</v>
      </c>
      <c r="K39" s="81">
        <v>4538</v>
      </c>
      <c r="L39" s="80">
        <v>3788</v>
      </c>
      <c r="M39" s="80"/>
      <c r="N39" s="80">
        <v>35</v>
      </c>
      <c r="O39" s="81">
        <v>2581</v>
      </c>
      <c r="P39" s="81"/>
      <c r="Q39" s="81">
        <v>513</v>
      </c>
      <c r="R39" s="80">
        <v>0</v>
      </c>
      <c r="S39" s="81"/>
      <c r="T39" s="78">
        <f t="shared" si="2"/>
        <v>0</v>
      </c>
      <c r="U39" s="79">
        <f t="shared" si="3"/>
        <v>0</v>
      </c>
      <c r="V39" s="80"/>
      <c r="W39" s="81"/>
      <c r="X39" s="80"/>
      <c r="Y39" s="81"/>
      <c r="Z39" s="80"/>
      <c r="AA39" s="80"/>
      <c r="AB39" s="80"/>
      <c r="AC39" s="81"/>
      <c r="AD39" s="81"/>
      <c r="AE39" s="81"/>
      <c r="AF39" s="80"/>
      <c r="AG39" s="81"/>
    </row>
    <row r="40" spans="1:33">
      <c r="A40" s="74" t="s">
        <v>60</v>
      </c>
      <c r="B40" s="75" t="s">
        <v>95</v>
      </c>
      <c r="C40" s="76"/>
      <c r="D40" s="77">
        <v>101602</v>
      </c>
      <c r="E40" s="77">
        <v>10</v>
      </c>
      <c r="F40" s="78">
        <f t="shared" si="0"/>
        <v>41792</v>
      </c>
      <c r="G40" s="79">
        <f t="shared" si="1"/>
        <v>40071</v>
      </c>
      <c r="H40" s="80">
        <v>29209</v>
      </c>
      <c r="I40" s="81">
        <v>27256</v>
      </c>
      <c r="J40" s="80">
        <v>1683</v>
      </c>
      <c r="K40" s="81">
        <v>1654</v>
      </c>
      <c r="L40" s="80">
        <v>10900</v>
      </c>
      <c r="M40" s="80"/>
      <c r="N40" s="80">
        <v>0</v>
      </c>
      <c r="O40" s="81">
        <v>11161</v>
      </c>
      <c r="P40" s="81"/>
      <c r="Q40" s="81"/>
      <c r="R40" s="80"/>
      <c r="S40" s="81"/>
      <c r="T40" s="78">
        <f t="shared" si="2"/>
        <v>0</v>
      </c>
      <c r="U40" s="79">
        <f t="shared" si="3"/>
        <v>0</v>
      </c>
      <c r="V40" s="80"/>
      <c r="W40" s="81"/>
      <c r="X40" s="80"/>
      <c r="Y40" s="81"/>
      <c r="Z40" s="80"/>
      <c r="AA40" s="80"/>
      <c r="AB40" s="80"/>
      <c r="AC40" s="81"/>
      <c r="AD40" s="81"/>
      <c r="AE40" s="81"/>
      <c r="AF40" s="80"/>
      <c r="AG40" s="81"/>
    </row>
    <row r="41" spans="1:33">
      <c r="A41" s="74" t="s">
        <v>60</v>
      </c>
      <c r="B41" s="75" t="s">
        <v>96</v>
      </c>
      <c r="C41" s="76"/>
      <c r="D41" s="77">
        <v>102076</v>
      </c>
      <c r="E41" s="77">
        <v>10</v>
      </c>
      <c r="F41" s="78">
        <f t="shared" si="0"/>
        <v>61943</v>
      </c>
      <c r="G41" s="79">
        <f t="shared" si="1"/>
        <v>58698</v>
      </c>
      <c r="H41" s="80">
        <v>30094</v>
      </c>
      <c r="I41" s="81">
        <v>27443</v>
      </c>
      <c r="J41" s="80">
        <v>0</v>
      </c>
      <c r="K41" s="81">
        <v>0</v>
      </c>
      <c r="L41" s="80">
        <v>31849</v>
      </c>
      <c r="M41" s="80"/>
      <c r="N41" s="80"/>
      <c r="O41" s="81">
        <v>31255</v>
      </c>
      <c r="P41" s="81"/>
      <c r="Q41" s="81"/>
      <c r="R41" s="80"/>
      <c r="S41" s="81"/>
      <c r="T41" s="78">
        <f t="shared" si="2"/>
        <v>0</v>
      </c>
      <c r="U41" s="79">
        <f t="shared" si="3"/>
        <v>0</v>
      </c>
      <c r="V41" s="80"/>
      <c r="W41" s="81"/>
      <c r="X41" s="80"/>
      <c r="Y41" s="81"/>
      <c r="Z41" s="80"/>
      <c r="AA41" s="80"/>
      <c r="AB41" s="80"/>
      <c r="AC41" s="81"/>
      <c r="AD41" s="81"/>
      <c r="AE41" s="81"/>
      <c r="AF41" s="80"/>
      <c r="AG41" s="81"/>
    </row>
    <row r="42" spans="1:33">
      <c r="A42" s="74" t="s">
        <v>60</v>
      </c>
      <c r="B42" s="75" t="s">
        <v>97</v>
      </c>
      <c r="C42" s="76"/>
      <c r="D42" s="77">
        <v>102313</v>
      </c>
      <c r="E42" s="77">
        <v>12</v>
      </c>
      <c r="F42" s="78">
        <f t="shared" si="0"/>
        <v>38556</v>
      </c>
      <c r="G42" s="79">
        <f t="shared" si="1"/>
        <v>40249</v>
      </c>
      <c r="H42" s="80">
        <v>33046</v>
      </c>
      <c r="I42" s="81">
        <v>35030</v>
      </c>
      <c r="J42" s="80">
        <v>2182</v>
      </c>
      <c r="K42" s="81">
        <v>1901</v>
      </c>
      <c r="L42" s="80">
        <v>3328</v>
      </c>
      <c r="M42" s="80"/>
      <c r="N42" s="80">
        <v>0</v>
      </c>
      <c r="O42" s="81">
        <v>3318</v>
      </c>
      <c r="P42" s="81"/>
      <c r="Q42" s="81"/>
      <c r="R42" s="80"/>
      <c r="S42" s="81"/>
      <c r="T42" s="78">
        <f t="shared" si="2"/>
        <v>0</v>
      </c>
      <c r="U42" s="79">
        <f t="shared" si="3"/>
        <v>0</v>
      </c>
      <c r="V42" s="80"/>
      <c r="W42" s="81"/>
      <c r="X42" s="80"/>
      <c r="Y42" s="81"/>
      <c r="Z42" s="80"/>
      <c r="AA42" s="80"/>
      <c r="AB42" s="80"/>
      <c r="AC42" s="81"/>
      <c r="AD42" s="81"/>
      <c r="AE42" s="81"/>
      <c r="AF42" s="80"/>
      <c r="AG42" s="81"/>
    </row>
    <row r="43" spans="1:33">
      <c r="A43" s="74" t="s">
        <v>60</v>
      </c>
      <c r="B43" s="75" t="s">
        <v>98</v>
      </c>
      <c r="C43" s="76"/>
      <c r="D43" s="77">
        <v>101462</v>
      </c>
      <c r="E43" s="77">
        <v>13</v>
      </c>
      <c r="F43" s="78">
        <f t="shared" si="0"/>
        <v>20532</v>
      </c>
      <c r="G43" s="79">
        <f t="shared" si="1"/>
        <v>18179</v>
      </c>
      <c r="H43" s="80">
        <v>12445</v>
      </c>
      <c r="I43" s="81">
        <v>11152</v>
      </c>
      <c r="J43" s="80">
        <v>1673</v>
      </c>
      <c r="K43" s="81">
        <v>680</v>
      </c>
      <c r="L43" s="80">
        <v>6414</v>
      </c>
      <c r="M43" s="80"/>
      <c r="N43" s="80">
        <v>0</v>
      </c>
      <c r="O43" s="81">
        <v>6347</v>
      </c>
      <c r="P43" s="81"/>
      <c r="Q43" s="81"/>
      <c r="R43" s="80"/>
      <c r="S43" s="81"/>
      <c r="T43" s="78">
        <f t="shared" si="2"/>
        <v>0</v>
      </c>
      <c r="U43" s="79">
        <f t="shared" si="3"/>
        <v>0</v>
      </c>
      <c r="V43" s="80"/>
      <c r="W43" s="81"/>
      <c r="X43" s="80"/>
      <c r="Y43" s="81"/>
      <c r="Z43" s="80"/>
      <c r="AA43" s="80"/>
      <c r="AB43" s="80"/>
      <c r="AC43" s="81"/>
      <c r="AD43" s="81"/>
      <c r="AE43" s="81"/>
      <c r="AF43" s="80"/>
      <c r="AG43" s="81"/>
    </row>
    <row r="44" spans="1:33">
      <c r="A44" s="74" t="s">
        <v>60</v>
      </c>
      <c r="B44" s="75" t="s">
        <v>99</v>
      </c>
      <c r="C44" s="76"/>
      <c r="D44" s="77">
        <v>101471</v>
      </c>
      <c r="E44" s="77">
        <v>13</v>
      </c>
      <c r="F44" s="78">
        <f t="shared" si="0"/>
        <v>18336</v>
      </c>
      <c r="G44" s="79">
        <f t="shared" si="1"/>
        <v>15888</v>
      </c>
      <c r="H44" s="80">
        <v>18288</v>
      </c>
      <c r="I44" s="81">
        <v>15888</v>
      </c>
      <c r="J44" s="80">
        <v>0</v>
      </c>
      <c r="K44" s="81">
        <v>0</v>
      </c>
      <c r="L44" s="80">
        <v>48</v>
      </c>
      <c r="M44" s="80"/>
      <c r="N44" s="80"/>
      <c r="O44" s="81">
        <v>0</v>
      </c>
      <c r="P44" s="81"/>
      <c r="Q44" s="81"/>
      <c r="R44" s="80"/>
      <c r="S44" s="81"/>
      <c r="T44" s="78">
        <f t="shared" si="2"/>
        <v>0</v>
      </c>
      <c r="U44" s="79">
        <f t="shared" si="3"/>
        <v>0</v>
      </c>
      <c r="V44" s="80"/>
      <c r="W44" s="81"/>
      <c r="X44" s="80"/>
      <c r="Y44" s="81"/>
      <c r="Z44" s="80"/>
      <c r="AA44" s="80"/>
      <c r="AB44" s="80"/>
      <c r="AC44" s="81"/>
      <c r="AD44" s="81"/>
      <c r="AE44" s="81"/>
      <c r="AF44" s="80"/>
      <c r="AG44" s="81"/>
    </row>
    <row r="45" spans="1:33">
      <c r="A45" s="74" t="s">
        <v>60</v>
      </c>
      <c r="B45" s="75" t="s">
        <v>100</v>
      </c>
      <c r="C45" s="76"/>
      <c r="D45" s="77">
        <v>101994</v>
      </c>
      <c r="E45" s="77">
        <v>13</v>
      </c>
      <c r="F45" s="78">
        <f t="shared" si="0"/>
        <v>11505</v>
      </c>
      <c r="G45" s="79">
        <f t="shared" si="1"/>
        <v>10491</v>
      </c>
      <c r="H45" s="80">
        <v>9007</v>
      </c>
      <c r="I45" s="81">
        <v>8190</v>
      </c>
      <c r="J45" s="80">
        <v>2498</v>
      </c>
      <c r="K45" s="81">
        <v>2301</v>
      </c>
      <c r="L45" s="80"/>
      <c r="M45" s="80"/>
      <c r="N45" s="80"/>
      <c r="O45" s="81">
        <v>0</v>
      </c>
      <c r="P45" s="81"/>
      <c r="Q45" s="81"/>
      <c r="R45" s="80"/>
      <c r="S45" s="81"/>
      <c r="T45" s="78">
        <f t="shared" si="2"/>
        <v>0</v>
      </c>
      <c r="U45" s="79">
        <f t="shared" si="3"/>
        <v>0</v>
      </c>
      <c r="V45" s="80"/>
      <c r="W45" s="81"/>
      <c r="X45" s="80"/>
      <c r="Y45" s="81"/>
      <c r="Z45" s="80"/>
      <c r="AA45" s="80"/>
      <c r="AB45" s="80"/>
      <c r="AC45" s="81"/>
      <c r="AD45" s="81"/>
      <c r="AE45" s="81"/>
      <c r="AF45" s="80"/>
      <c r="AG45" s="81"/>
    </row>
    <row r="46" spans="1:33">
      <c r="A46" s="74" t="s">
        <v>60</v>
      </c>
      <c r="B46" s="75" t="s">
        <v>101</v>
      </c>
      <c r="C46" s="76"/>
      <c r="D46" s="77">
        <v>101648</v>
      </c>
      <c r="E46" s="77">
        <v>15</v>
      </c>
      <c r="F46" s="78">
        <f t="shared" si="0"/>
        <v>13766</v>
      </c>
      <c r="G46" s="79">
        <f t="shared" si="1"/>
        <v>13899</v>
      </c>
      <c r="H46" s="80">
        <v>13766</v>
      </c>
      <c r="I46" s="81">
        <v>13796</v>
      </c>
      <c r="J46" s="80"/>
      <c r="K46" s="81">
        <v>0</v>
      </c>
      <c r="L46" s="80"/>
      <c r="M46" s="80"/>
      <c r="N46" s="80"/>
      <c r="O46" s="81">
        <v>103</v>
      </c>
      <c r="P46" s="81"/>
      <c r="Q46" s="81"/>
      <c r="R46" s="80"/>
      <c r="S46" s="81"/>
      <c r="T46" s="78">
        <f t="shared" si="2"/>
        <v>0</v>
      </c>
      <c r="U46" s="79">
        <f t="shared" si="3"/>
        <v>0</v>
      </c>
      <c r="V46" s="80"/>
      <c r="W46" s="81"/>
      <c r="X46" s="80"/>
      <c r="Y46" s="81"/>
      <c r="Z46" s="80"/>
      <c r="AA46" s="80"/>
      <c r="AB46" s="80"/>
      <c r="AC46" s="81"/>
      <c r="AD46" s="81"/>
      <c r="AE46" s="81"/>
      <c r="AF46" s="80"/>
      <c r="AG46" s="81"/>
    </row>
    <row r="47" spans="1:33" s="44" customFormat="1" ht="13.5" customHeight="1">
      <c r="A47" s="20" t="s">
        <v>105</v>
      </c>
      <c r="B47" s="19" t="s">
        <v>106</v>
      </c>
      <c r="C47" s="18"/>
      <c r="D47" s="17">
        <v>106397</v>
      </c>
      <c r="E47" s="17">
        <v>1</v>
      </c>
      <c r="F47" s="78">
        <f t="shared" si="0"/>
        <v>638732</v>
      </c>
      <c r="G47" s="79">
        <f t="shared" si="1"/>
        <v>648938</v>
      </c>
      <c r="H47" s="80">
        <v>573464</v>
      </c>
      <c r="I47" s="81">
        <v>579933</v>
      </c>
      <c r="J47" s="80">
        <v>9162</v>
      </c>
      <c r="K47" s="81">
        <v>9280</v>
      </c>
      <c r="L47" s="80">
        <v>52367</v>
      </c>
      <c r="M47" s="80">
        <v>457</v>
      </c>
      <c r="N47" s="80">
        <v>0</v>
      </c>
      <c r="O47" s="81">
        <v>55804</v>
      </c>
      <c r="P47" s="81">
        <v>342</v>
      </c>
      <c r="Q47" s="81">
        <v>27</v>
      </c>
      <c r="R47" s="80">
        <v>3282</v>
      </c>
      <c r="S47" s="81">
        <v>3552</v>
      </c>
      <c r="T47" s="78">
        <f t="shared" si="2"/>
        <v>81194</v>
      </c>
      <c r="U47" s="79">
        <f t="shared" si="3"/>
        <v>79947</v>
      </c>
      <c r="V47" s="80">
        <v>56247</v>
      </c>
      <c r="W47" s="81">
        <v>54611</v>
      </c>
      <c r="X47" s="80">
        <v>1278</v>
      </c>
      <c r="Y47" s="81">
        <v>1026</v>
      </c>
      <c r="Z47" s="80">
        <v>23650</v>
      </c>
      <c r="AA47" s="80">
        <v>0</v>
      </c>
      <c r="AB47" s="80">
        <v>19</v>
      </c>
      <c r="AC47" s="81">
        <v>24301</v>
      </c>
      <c r="AD47" s="81">
        <v>9</v>
      </c>
      <c r="AE47" s="81">
        <v>0</v>
      </c>
      <c r="AF47" s="80">
        <v>0</v>
      </c>
      <c r="AG47" s="81">
        <v>0</v>
      </c>
    </row>
    <row r="48" spans="1:33">
      <c r="A48" s="20" t="s">
        <v>105</v>
      </c>
      <c r="B48" s="19" t="s">
        <v>107</v>
      </c>
      <c r="C48" s="7" t="s">
        <v>139</v>
      </c>
      <c r="D48" s="17">
        <v>106245</v>
      </c>
      <c r="E48" s="15">
        <v>2</v>
      </c>
      <c r="F48" s="78">
        <f t="shared" si="0"/>
        <v>206489</v>
      </c>
      <c r="G48" s="79">
        <f t="shared" si="1"/>
        <v>205875</v>
      </c>
      <c r="H48" s="80">
        <v>116807</v>
      </c>
      <c r="I48" s="81">
        <v>111480</v>
      </c>
      <c r="J48" s="80">
        <v>21304</v>
      </c>
      <c r="K48" s="81">
        <v>22281</v>
      </c>
      <c r="L48" s="80">
        <v>68378</v>
      </c>
      <c r="M48" s="80">
        <v>0</v>
      </c>
      <c r="N48" s="80">
        <v>0</v>
      </c>
      <c r="O48" s="81">
        <v>72114</v>
      </c>
      <c r="P48" s="81">
        <v>0</v>
      </c>
      <c r="Q48" s="81">
        <v>0</v>
      </c>
      <c r="R48" s="80">
        <v>0</v>
      </c>
      <c r="S48" s="81">
        <v>0</v>
      </c>
      <c r="T48" s="78">
        <f t="shared" si="2"/>
        <v>42496</v>
      </c>
      <c r="U48" s="79">
        <f t="shared" si="3"/>
        <v>42251</v>
      </c>
      <c r="V48" s="80">
        <v>27335</v>
      </c>
      <c r="W48" s="81">
        <v>29969</v>
      </c>
      <c r="X48" s="80">
        <v>5004</v>
      </c>
      <c r="Y48" s="81">
        <v>204</v>
      </c>
      <c r="Z48" s="80">
        <v>10157</v>
      </c>
      <c r="AA48" s="80">
        <v>0</v>
      </c>
      <c r="AB48" s="80">
        <v>0</v>
      </c>
      <c r="AC48" s="81">
        <v>12078</v>
      </c>
      <c r="AD48" s="81">
        <v>0</v>
      </c>
      <c r="AE48" s="81">
        <v>0</v>
      </c>
      <c r="AF48" s="80">
        <v>0</v>
      </c>
      <c r="AG48" s="81">
        <v>0</v>
      </c>
    </row>
    <row r="49" spans="1:33">
      <c r="A49" s="20" t="s">
        <v>105</v>
      </c>
      <c r="B49" s="19" t="s">
        <v>108</v>
      </c>
      <c r="C49" s="7"/>
      <c r="D49" s="17">
        <v>106458</v>
      </c>
      <c r="E49" s="17">
        <v>3</v>
      </c>
      <c r="F49" s="78">
        <f t="shared" si="0"/>
        <v>268602</v>
      </c>
      <c r="G49" s="79">
        <f t="shared" si="1"/>
        <v>263051</v>
      </c>
      <c r="H49" s="80">
        <v>172412</v>
      </c>
      <c r="I49" s="81">
        <v>167218</v>
      </c>
      <c r="J49" s="80">
        <v>15899</v>
      </c>
      <c r="K49" s="81">
        <v>16066</v>
      </c>
      <c r="L49" s="80">
        <v>77931</v>
      </c>
      <c r="M49" s="80">
        <v>2360</v>
      </c>
      <c r="N49" s="80">
        <v>0</v>
      </c>
      <c r="O49" s="81">
        <v>78563</v>
      </c>
      <c r="P49" s="81">
        <v>1204</v>
      </c>
      <c r="Q49" s="81">
        <v>0</v>
      </c>
      <c r="R49" s="80">
        <v>0</v>
      </c>
      <c r="S49" s="81">
        <v>0</v>
      </c>
      <c r="T49" s="78">
        <f t="shared" si="2"/>
        <v>92137</v>
      </c>
      <c r="U49" s="79">
        <f t="shared" si="3"/>
        <v>97384</v>
      </c>
      <c r="V49" s="80">
        <v>22718</v>
      </c>
      <c r="W49" s="81">
        <v>22027</v>
      </c>
      <c r="X49" s="80">
        <v>3</v>
      </c>
      <c r="Y49" s="81">
        <v>12</v>
      </c>
      <c r="Z49" s="80">
        <v>69347</v>
      </c>
      <c r="AA49" s="80">
        <v>0</v>
      </c>
      <c r="AB49" s="80">
        <v>69</v>
      </c>
      <c r="AC49" s="81">
        <v>75330</v>
      </c>
      <c r="AD49" s="81">
        <v>0</v>
      </c>
      <c r="AE49" s="81">
        <v>15</v>
      </c>
      <c r="AF49" s="80">
        <v>0</v>
      </c>
      <c r="AG49" s="81">
        <v>0</v>
      </c>
    </row>
    <row r="50" spans="1:33">
      <c r="A50" s="20" t="s">
        <v>105</v>
      </c>
      <c r="B50" s="19" t="s">
        <v>109</v>
      </c>
      <c r="C50" s="6"/>
      <c r="D50" s="17">
        <v>106467</v>
      </c>
      <c r="E50" s="17">
        <v>3</v>
      </c>
      <c r="F50" s="78">
        <f t="shared" si="0"/>
        <v>223609</v>
      </c>
      <c r="G50" s="79">
        <f t="shared" si="1"/>
        <v>231675</v>
      </c>
      <c r="H50" s="80">
        <v>153467</v>
      </c>
      <c r="I50" s="81">
        <v>157263</v>
      </c>
      <c r="J50" s="80">
        <v>10453</v>
      </c>
      <c r="K50" s="81">
        <v>13568</v>
      </c>
      <c r="L50" s="80">
        <v>58624</v>
      </c>
      <c r="M50" s="80">
        <v>0</v>
      </c>
      <c r="N50" s="80">
        <v>1065</v>
      </c>
      <c r="O50" s="81">
        <v>58822</v>
      </c>
      <c r="P50" s="81">
        <v>0</v>
      </c>
      <c r="Q50" s="81">
        <v>2022</v>
      </c>
      <c r="R50" s="80">
        <v>0</v>
      </c>
      <c r="S50" s="81">
        <v>0</v>
      </c>
      <c r="T50" s="78">
        <f t="shared" si="2"/>
        <v>15406</v>
      </c>
      <c r="U50" s="79">
        <f t="shared" si="3"/>
        <v>14243</v>
      </c>
      <c r="V50" s="80">
        <v>5506</v>
      </c>
      <c r="W50" s="81">
        <v>4456</v>
      </c>
      <c r="X50" s="80">
        <v>1647</v>
      </c>
      <c r="Y50" s="81">
        <v>302</v>
      </c>
      <c r="Z50" s="80">
        <v>7988</v>
      </c>
      <c r="AA50" s="80">
        <v>0</v>
      </c>
      <c r="AB50" s="80">
        <v>265</v>
      </c>
      <c r="AC50" s="81">
        <v>8924</v>
      </c>
      <c r="AD50" s="81">
        <v>0</v>
      </c>
      <c r="AE50" s="81">
        <v>561</v>
      </c>
      <c r="AF50" s="80">
        <v>0</v>
      </c>
      <c r="AG50" s="81">
        <v>0</v>
      </c>
    </row>
    <row r="51" spans="1:33">
      <c r="A51" s="20" t="s">
        <v>105</v>
      </c>
      <c r="B51" s="19" t="s">
        <v>110</v>
      </c>
      <c r="C51" s="7"/>
      <c r="D51" s="17">
        <v>106704</v>
      </c>
      <c r="E51" s="17">
        <v>3</v>
      </c>
      <c r="F51" s="78">
        <f t="shared" si="0"/>
        <v>270455</v>
      </c>
      <c r="G51" s="79">
        <f t="shared" si="1"/>
        <v>265178</v>
      </c>
      <c r="H51" s="80">
        <v>245649</v>
      </c>
      <c r="I51" s="81">
        <v>236960</v>
      </c>
      <c r="J51" s="80">
        <v>3257</v>
      </c>
      <c r="K51" s="81">
        <v>4256</v>
      </c>
      <c r="L51" s="80">
        <v>21395</v>
      </c>
      <c r="M51" s="80">
        <v>153</v>
      </c>
      <c r="N51" s="80">
        <v>0</v>
      </c>
      <c r="O51" s="81">
        <v>23776</v>
      </c>
      <c r="P51" s="81">
        <v>186</v>
      </c>
      <c r="Q51" s="81">
        <v>0</v>
      </c>
      <c r="R51" s="80">
        <v>1</v>
      </c>
      <c r="S51" s="81">
        <v>0</v>
      </c>
      <c r="T51" s="78">
        <f t="shared" si="2"/>
        <v>37487</v>
      </c>
      <c r="U51" s="79">
        <f t="shared" si="3"/>
        <v>37102</v>
      </c>
      <c r="V51" s="80">
        <v>19585</v>
      </c>
      <c r="W51" s="81">
        <v>20105</v>
      </c>
      <c r="X51" s="80">
        <v>0</v>
      </c>
      <c r="Y51" s="81">
        <v>0</v>
      </c>
      <c r="Z51" s="80">
        <v>12927</v>
      </c>
      <c r="AA51" s="80">
        <v>4975</v>
      </c>
      <c r="AB51" s="80">
        <v>0</v>
      </c>
      <c r="AC51" s="81">
        <v>12202</v>
      </c>
      <c r="AD51" s="81">
        <v>4795</v>
      </c>
      <c r="AE51" s="81">
        <v>0</v>
      </c>
      <c r="AF51" s="80">
        <v>0</v>
      </c>
      <c r="AG51" s="81">
        <v>0</v>
      </c>
    </row>
    <row r="52" spans="1:33">
      <c r="A52" s="20" t="s">
        <v>105</v>
      </c>
      <c r="B52" s="19" t="s">
        <v>111</v>
      </c>
      <c r="C52" s="7"/>
      <c r="D52" s="17">
        <v>107071</v>
      </c>
      <c r="E52" s="17">
        <v>4</v>
      </c>
      <c r="F52" s="78">
        <f t="shared" si="0"/>
        <v>88838</v>
      </c>
      <c r="G52" s="79">
        <f t="shared" si="1"/>
        <v>83926</v>
      </c>
      <c r="H52" s="80">
        <v>72553</v>
      </c>
      <c r="I52" s="81">
        <v>66438</v>
      </c>
      <c r="J52" s="80">
        <v>1847</v>
      </c>
      <c r="K52" s="81">
        <v>2225</v>
      </c>
      <c r="L52" s="80">
        <v>14438</v>
      </c>
      <c r="M52" s="80">
        <v>0</v>
      </c>
      <c r="N52" s="80">
        <v>0</v>
      </c>
      <c r="O52" s="81">
        <v>15263</v>
      </c>
      <c r="P52" s="81">
        <v>0</v>
      </c>
      <c r="Q52" s="81">
        <v>0</v>
      </c>
      <c r="R52" s="80">
        <v>0</v>
      </c>
      <c r="S52" s="81">
        <v>0</v>
      </c>
      <c r="T52" s="78">
        <f t="shared" si="2"/>
        <v>7490</v>
      </c>
      <c r="U52" s="79">
        <f t="shared" si="3"/>
        <v>7745</v>
      </c>
      <c r="V52" s="80">
        <v>2366</v>
      </c>
      <c r="W52" s="81">
        <v>2186</v>
      </c>
      <c r="X52" s="80">
        <v>210</v>
      </c>
      <c r="Y52" s="81">
        <v>168</v>
      </c>
      <c r="Z52" s="80">
        <v>4914</v>
      </c>
      <c r="AA52" s="80">
        <v>0</v>
      </c>
      <c r="AB52" s="80">
        <v>0</v>
      </c>
      <c r="AC52" s="81">
        <v>5391</v>
      </c>
      <c r="AD52" s="81">
        <v>0</v>
      </c>
      <c r="AE52" s="81">
        <v>0</v>
      </c>
      <c r="AF52" s="80">
        <v>0</v>
      </c>
      <c r="AG52" s="81">
        <v>0</v>
      </c>
    </row>
    <row r="53" spans="1:33">
      <c r="A53" s="20" t="s">
        <v>105</v>
      </c>
      <c r="B53" s="19" t="s">
        <v>112</v>
      </c>
      <c r="C53" s="6"/>
      <c r="D53" s="17">
        <v>107983</v>
      </c>
      <c r="E53" s="17">
        <v>4</v>
      </c>
      <c r="F53" s="78">
        <f t="shared" si="0"/>
        <v>53603</v>
      </c>
      <c r="G53" s="79">
        <f t="shared" si="1"/>
        <v>94715</v>
      </c>
      <c r="H53" s="80">
        <v>34899</v>
      </c>
      <c r="I53" s="81">
        <v>75063</v>
      </c>
      <c r="J53" s="80">
        <v>2005</v>
      </c>
      <c r="K53" s="81">
        <v>2062</v>
      </c>
      <c r="L53" s="80">
        <v>16699</v>
      </c>
      <c r="M53" s="80">
        <v>0</v>
      </c>
      <c r="N53" s="80">
        <v>0</v>
      </c>
      <c r="O53" s="81">
        <v>17590</v>
      </c>
      <c r="P53" s="81">
        <v>0</v>
      </c>
      <c r="Q53" s="81">
        <v>0</v>
      </c>
      <c r="R53" s="80">
        <v>0</v>
      </c>
      <c r="S53" s="81">
        <v>0</v>
      </c>
      <c r="T53" s="78">
        <f t="shared" si="2"/>
        <v>28267</v>
      </c>
      <c r="U53" s="79">
        <f t="shared" si="3"/>
        <v>22276</v>
      </c>
      <c r="V53" s="80">
        <v>4488</v>
      </c>
      <c r="W53" s="81">
        <v>1827</v>
      </c>
      <c r="X53" s="80">
        <v>2550</v>
      </c>
      <c r="Y53" s="81">
        <v>4072</v>
      </c>
      <c r="Z53" s="80">
        <v>21229</v>
      </c>
      <c r="AA53" s="80">
        <v>0</v>
      </c>
      <c r="AB53" s="80">
        <v>0</v>
      </c>
      <c r="AC53" s="81">
        <v>16377</v>
      </c>
      <c r="AD53" s="81">
        <v>0</v>
      </c>
      <c r="AE53" s="81">
        <v>0</v>
      </c>
      <c r="AF53" s="80">
        <v>0</v>
      </c>
      <c r="AG53" s="81">
        <v>0</v>
      </c>
    </row>
    <row r="54" spans="1:33">
      <c r="A54" s="20" t="s">
        <v>105</v>
      </c>
      <c r="B54" s="19" t="s">
        <v>113</v>
      </c>
      <c r="C54" s="7" t="s">
        <v>140</v>
      </c>
      <c r="D54" s="17">
        <v>106485</v>
      </c>
      <c r="E54" s="17">
        <v>5</v>
      </c>
      <c r="F54" s="78">
        <f t="shared" si="0"/>
        <v>67489</v>
      </c>
      <c r="G54" s="79">
        <f t="shared" si="1"/>
        <v>74004</v>
      </c>
      <c r="H54" s="80">
        <v>46678</v>
      </c>
      <c r="I54" s="81">
        <v>49391</v>
      </c>
      <c r="J54" s="80">
        <v>3109</v>
      </c>
      <c r="K54" s="81">
        <v>7076</v>
      </c>
      <c r="L54" s="80">
        <v>17702</v>
      </c>
      <c r="M54" s="80">
        <v>0</v>
      </c>
      <c r="N54" s="80">
        <v>0</v>
      </c>
      <c r="O54" s="81">
        <v>17519</v>
      </c>
      <c r="P54" s="81">
        <v>18</v>
      </c>
      <c r="Q54" s="81">
        <v>0</v>
      </c>
      <c r="R54" s="80">
        <v>0</v>
      </c>
      <c r="S54" s="81">
        <v>0</v>
      </c>
      <c r="T54" s="78">
        <f t="shared" si="2"/>
        <v>4537</v>
      </c>
      <c r="U54" s="79">
        <f t="shared" si="3"/>
        <v>5793</v>
      </c>
      <c r="V54" s="80">
        <v>757</v>
      </c>
      <c r="W54" s="81">
        <v>855</v>
      </c>
      <c r="X54" s="80">
        <v>6</v>
      </c>
      <c r="Y54" s="81">
        <v>0</v>
      </c>
      <c r="Z54" s="80">
        <v>3774</v>
      </c>
      <c r="AA54" s="80">
        <v>0</v>
      </c>
      <c r="AB54" s="80">
        <v>0</v>
      </c>
      <c r="AC54" s="81">
        <v>4938</v>
      </c>
      <c r="AD54" s="81">
        <v>0</v>
      </c>
      <c r="AE54" s="81">
        <v>0</v>
      </c>
      <c r="AF54" s="80">
        <v>0</v>
      </c>
      <c r="AG54" s="81">
        <v>0</v>
      </c>
    </row>
    <row r="55" spans="1:33">
      <c r="A55" s="20" t="s">
        <v>105</v>
      </c>
      <c r="B55" s="19" t="s">
        <v>114</v>
      </c>
      <c r="C55" s="7"/>
      <c r="D55" s="17">
        <v>108092</v>
      </c>
      <c r="E55" s="17">
        <v>6</v>
      </c>
      <c r="F55" s="78">
        <f t="shared" si="0"/>
        <v>158534</v>
      </c>
      <c r="G55" s="79">
        <f t="shared" si="1"/>
        <v>158357</v>
      </c>
      <c r="H55" s="80">
        <v>121326</v>
      </c>
      <c r="I55" s="81">
        <v>116105</v>
      </c>
      <c r="J55" s="80">
        <v>3884</v>
      </c>
      <c r="K55" s="81">
        <v>4300</v>
      </c>
      <c r="L55" s="80">
        <v>33324</v>
      </c>
      <c r="M55" s="80">
        <v>0</v>
      </c>
      <c r="N55" s="80">
        <v>0</v>
      </c>
      <c r="O55" s="81">
        <v>37952</v>
      </c>
      <c r="P55" s="81">
        <v>0</v>
      </c>
      <c r="Q55" s="81">
        <v>0</v>
      </c>
      <c r="R55" s="80">
        <v>0</v>
      </c>
      <c r="S55" s="81">
        <v>0</v>
      </c>
      <c r="T55" s="78">
        <f t="shared" si="2"/>
        <v>210</v>
      </c>
      <c r="U55" s="79">
        <f t="shared" si="3"/>
        <v>186</v>
      </c>
      <c r="V55" s="80">
        <v>0</v>
      </c>
      <c r="W55" s="81">
        <v>0</v>
      </c>
      <c r="X55" s="80">
        <v>0</v>
      </c>
      <c r="Y55" s="81">
        <v>0</v>
      </c>
      <c r="Z55" s="80">
        <v>210</v>
      </c>
      <c r="AA55" s="80">
        <v>0</v>
      </c>
      <c r="AB55" s="80">
        <v>0</v>
      </c>
      <c r="AC55" s="81">
        <v>186</v>
      </c>
      <c r="AD55" s="81">
        <v>0</v>
      </c>
      <c r="AE55" s="81">
        <v>0</v>
      </c>
      <c r="AF55" s="80">
        <v>0</v>
      </c>
      <c r="AG55" s="81">
        <v>0</v>
      </c>
    </row>
    <row r="56" spans="1:33">
      <c r="A56" s="20" t="s">
        <v>105</v>
      </c>
      <c r="B56" s="19" t="s">
        <v>115</v>
      </c>
      <c r="C56" s="7" t="s">
        <v>141</v>
      </c>
      <c r="D56" s="17">
        <v>106412</v>
      </c>
      <c r="E56" s="17">
        <v>6</v>
      </c>
      <c r="F56" s="78">
        <f t="shared" si="0"/>
        <v>73420</v>
      </c>
      <c r="G56" s="79">
        <f t="shared" si="1"/>
        <v>73528</v>
      </c>
      <c r="H56" s="80">
        <v>61915</v>
      </c>
      <c r="I56" s="81">
        <v>60050</v>
      </c>
      <c r="J56" s="80">
        <v>0</v>
      </c>
      <c r="K56" s="81">
        <v>72</v>
      </c>
      <c r="L56" s="80">
        <v>11505</v>
      </c>
      <c r="M56" s="80">
        <v>0</v>
      </c>
      <c r="N56" s="80">
        <v>0</v>
      </c>
      <c r="O56" s="81">
        <v>13406</v>
      </c>
      <c r="P56" s="81">
        <v>0</v>
      </c>
      <c r="Q56" s="81">
        <v>0</v>
      </c>
      <c r="R56" s="80">
        <v>0</v>
      </c>
      <c r="S56" s="81">
        <v>0</v>
      </c>
      <c r="T56" s="78">
        <f t="shared" si="2"/>
        <v>1436</v>
      </c>
      <c r="U56" s="79">
        <f t="shared" si="3"/>
        <v>1472</v>
      </c>
      <c r="V56" s="80">
        <v>1088</v>
      </c>
      <c r="W56" s="81">
        <v>1172</v>
      </c>
      <c r="X56" s="80">
        <v>0</v>
      </c>
      <c r="Y56" s="81">
        <v>0</v>
      </c>
      <c r="Z56" s="80">
        <v>348</v>
      </c>
      <c r="AA56" s="80">
        <v>0</v>
      </c>
      <c r="AB56" s="80">
        <v>0</v>
      </c>
      <c r="AC56" s="81">
        <v>300</v>
      </c>
      <c r="AD56" s="81">
        <v>0</v>
      </c>
      <c r="AE56" s="81">
        <v>0</v>
      </c>
      <c r="AF56" s="80">
        <v>0</v>
      </c>
      <c r="AG56" s="81">
        <v>0</v>
      </c>
    </row>
    <row r="57" spans="1:33">
      <c r="A57" s="14" t="s">
        <v>105</v>
      </c>
      <c r="B57" s="19" t="s">
        <v>116</v>
      </c>
      <c r="C57" s="7"/>
      <c r="D57" s="13">
        <v>367459</v>
      </c>
      <c r="E57" s="17">
        <v>8</v>
      </c>
      <c r="F57" s="78">
        <f t="shared" si="0"/>
        <v>147232</v>
      </c>
      <c r="G57" s="79">
        <f t="shared" si="1"/>
        <v>150029</v>
      </c>
      <c r="H57" s="80">
        <v>88828</v>
      </c>
      <c r="I57" s="81">
        <v>91859</v>
      </c>
      <c r="J57" s="80">
        <v>18623</v>
      </c>
      <c r="K57" s="81">
        <v>16255</v>
      </c>
      <c r="L57" s="80">
        <v>39731</v>
      </c>
      <c r="M57" s="80">
        <v>50</v>
      </c>
      <c r="N57" s="80">
        <v>0</v>
      </c>
      <c r="O57" s="81">
        <v>41915</v>
      </c>
      <c r="P57" s="81">
        <v>0</v>
      </c>
      <c r="Q57" s="81">
        <v>0</v>
      </c>
      <c r="R57" s="80">
        <v>0</v>
      </c>
      <c r="S57" s="81">
        <v>0</v>
      </c>
      <c r="T57" s="78">
        <f t="shared" si="2"/>
        <v>0</v>
      </c>
      <c r="U57" s="79">
        <f t="shared" si="3"/>
        <v>0</v>
      </c>
      <c r="V57" s="80">
        <v>0</v>
      </c>
      <c r="W57" s="81"/>
      <c r="X57" s="80">
        <v>0</v>
      </c>
      <c r="Y57" s="81"/>
      <c r="Z57" s="80">
        <v>0</v>
      </c>
      <c r="AA57" s="80">
        <v>0</v>
      </c>
      <c r="AB57" s="80">
        <v>0</v>
      </c>
      <c r="AC57" s="81"/>
      <c r="AD57" s="81"/>
      <c r="AE57" s="81"/>
      <c r="AF57" s="80">
        <v>0</v>
      </c>
      <c r="AG57" s="81"/>
    </row>
    <row r="58" spans="1:33">
      <c r="A58" s="14" t="s">
        <v>105</v>
      </c>
      <c r="B58" s="12" t="s">
        <v>117</v>
      </c>
      <c r="C58" s="7" t="s">
        <v>142</v>
      </c>
      <c r="D58" s="13">
        <v>107664</v>
      </c>
      <c r="E58" s="10">
        <v>8</v>
      </c>
      <c r="F58" s="78">
        <f t="shared" si="0"/>
        <v>144062</v>
      </c>
      <c r="G58" s="79">
        <f t="shared" si="1"/>
        <v>124411</v>
      </c>
      <c r="H58" s="80">
        <v>90966</v>
      </c>
      <c r="I58" s="81">
        <v>80904</v>
      </c>
      <c r="J58" s="80">
        <v>1293</v>
      </c>
      <c r="K58" s="81">
        <v>1336</v>
      </c>
      <c r="L58" s="80">
        <v>51803</v>
      </c>
      <c r="M58" s="80">
        <v>0</v>
      </c>
      <c r="N58" s="80">
        <v>0</v>
      </c>
      <c r="O58" s="81">
        <v>42171</v>
      </c>
      <c r="P58" s="81">
        <v>0</v>
      </c>
      <c r="Q58" s="81">
        <v>0</v>
      </c>
      <c r="R58" s="80">
        <v>0</v>
      </c>
      <c r="S58" s="81">
        <v>0</v>
      </c>
      <c r="T58" s="78">
        <f t="shared" si="2"/>
        <v>0</v>
      </c>
      <c r="U58" s="79">
        <f t="shared" si="3"/>
        <v>0</v>
      </c>
      <c r="V58" s="80">
        <v>0</v>
      </c>
      <c r="W58" s="81"/>
      <c r="X58" s="80">
        <v>0</v>
      </c>
      <c r="Y58" s="81"/>
      <c r="Z58" s="80">
        <v>0</v>
      </c>
      <c r="AA58" s="80">
        <v>0</v>
      </c>
      <c r="AB58" s="80">
        <v>0</v>
      </c>
      <c r="AC58" s="81"/>
      <c r="AD58" s="81"/>
      <c r="AE58" s="81"/>
      <c r="AF58" s="80">
        <v>0</v>
      </c>
      <c r="AG58" s="81"/>
    </row>
    <row r="59" spans="1:33">
      <c r="A59" s="14" t="s">
        <v>105</v>
      </c>
      <c r="B59" s="12" t="s">
        <v>118</v>
      </c>
      <c r="C59" s="7"/>
      <c r="D59" s="13">
        <v>106449</v>
      </c>
      <c r="E59" s="13">
        <v>9</v>
      </c>
      <c r="F59" s="78">
        <f t="shared" si="0"/>
        <v>86601</v>
      </c>
      <c r="G59" s="79">
        <f t="shared" si="1"/>
        <v>82537</v>
      </c>
      <c r="H59" s="80">
        <v>56904</v>
      </c>
      <c r="I59" s="81">
        <v>53325</v>
      </c>
      <c r="J59" s="80">
        <v>9652</v>
      </c>
      <c r="K59" s="81">
        <v>8419</v>
      </c>
      <c r="L59" s="80">
        <v>20045</v>
      </c>
      <c r="M59" s="80">
        <v>0</v>
      </c>
      <c r="N59" s="80">
        <v>0</v>
      </c>
      <c r="O59" s="81">
        <v>20724</v>
      </c>
      <c r="P59" s="81">
        <v>69</v>
      </c>
      <c r="Q59" s="81">
        <v>0</v>
      </c>
      <c r="R59" s="80">
        <v>0</v>
      </c>
      <c r="S59" s="81">
        <v>0</v>
      </c>
      <c r="T59" s="78">
        <f t="shared" si="2"/>
        <v>0</v>
      </c>
      <c r="U59" s="79">
        <f t="shared" si="3"/>
        <v>0</v>
      </c>
      <c r="V59" s="80">
        <v>0</v>
      </c>
      <c r="W59" s="81"/>
      <c r="X59" s="80">
        <v>0</v>
      </c>
      <c r="Y59" s="81"/>
      <c r="Z59" s="80">
        <v>0</v>
      </c>
      <c r="AA59" s="80">
        <v>0</v>
      </c>
      <c r="AB59" s="80">
        <v>0</v>
      </c>
      <c r="AC59" s="81"/>
      <c r="AD59" s="81"/>
      <c r="AE59" s="81"/>
      <c r="AF59" s="80">
        <v>0</v>
      </c>
      <c r="AG59" s="81"/>
    </row>
    <row r="60" spans="1:33">
      <c r="A60" s="14" t="s">
        <v>105</v>
      </c>
      <c r="B60" s="9" t="s">
        <v>119</v>
      </c>
      <c r="C60" s="5" t="s">
        <v>104</v>
      </c>
      <c r="D60" s="17">
        <v>106980</v>
      </c>
      <c r="E60" s="4">
        <v>10</v>
      </c>
      <c r="F60" s="78">
        <f t="shared" si="0"/>
        <v>55678</v>
      </c>
      <c r="G60" s="79">
        <f t="shared" si="1"/>
        <v>55130</v>
      </c>
      <c r="H60" s="80">
        <v>37725</v>
      </c>
      <c r="I60" s="81">
        <v>44907</v>
      </c>
      <c r="J60" s="80">
        <v>6621</v>
      </c>
      <c r="K60" s="81">
        <v>4889</v>
      </c>
      <c r="L60" s="80">
        <v>11332</v>
      </c>
      <c r="M60" s="80">
        <v>0</v>
      </c>
      <c r="N60" s="80">
        <v>0</v>
      </c>
      <c r="O60" s="81">
        <v>5334</v>
      </c>
      <c r="P60" s="81">
        <v>0</v>
      </c>
      <c r="Q60" s="81">
        <v>0</v>
      </c>
      <c r="R60" s="80">
        <v>0</v>
      </c>
      <c r="S60" s="81">
        <v>0</v>
      </c>
      <c r="T60" s="78">
        <f t="shared" si="2"/>
        <v>0</v>
      </c>
      <c r="U60" s="79">
        <f t="shared" si="3"/>
        <v>0</v>
      </c>
      <c r="V60" s="80">
        <v>0</v>
      </c>
      <c r="W60" s="81"/>
      <c r="X60" s="80">
        <v>0</v>
      </c>
      <c r="Y60" s="81"/>
      <c r="Z60" s="80">
        <v>0</v>
      </c>
      <c r="AA60" s="80">
        <v>0</v>
      </c>
      <c r="AB60" s="80">
        <v>0</v>
      </c>
      <c r="AC60" s="81"/>
      <c r="AD60" s="81"/>
      <c r="AE60" s="81"/>
      <c r="AF60" s="80">
        <v>0</v>
      </c>
      <c r="AG60" s="81"/>
    </row>
    <row r="61" spans="1:33">
      <c r="A61" s="14" t="s">
        <v>105</v>
      </c>
      <c r="B61" s="12" t="s">
        <v>120</v>
      </c>
      <c r="C61" s="11"/>
      <c r="D61" s="13">
        <v>107327</v>
      </c>
      <c r="E61" s="13">
        <v>10</v>
      </c>
      <c r="F61" s="78">
        <f t="shared" si="0"/>
        <v>28038</v>
      </c>
      <c r="G61" s="79">
        <f t="shared" si="1"/>
        <v>28028</v>
      </c>
      <c r="H61" s="80">
        <v>20321</v>
      </c>
      <c r="I61" s="81">
        <v>18775</v>
      </c>
      <c r="J61" s="80">
        <v>275</v>
      </c>
      <c r="K61" s="81">
        <v>311</v>
      </c>
      <c r="L61" s="80">
        <v>7442</v>
      </c>
      <c r="M61" s="80">
        <v>0</v>
      </c>
      <c r="N61" s="80">
        <v>0</v>
      </c>
      <c r="O61" s="81">
        <v>8942</v>
      </c>
      <c r="P61" s="81">
        <v>0</v>
      </c>
      <c r="Q61" s="81">
        <v>0</v>
      </c>
      <c r="R61" s="80">
        <v>0</v>
      </c>
      <c r="S61" s="81">
        <v>0</v>
      </c>
      <c r="T61" s="78">
        <f t="shared" si="2"/>
        <v>0</v>
      </c>
      <c r="U61" s="79">
        <f t="shared" si="3"/>
        <v>0</v>
      </c>
      <c r="V61" s="80">
        <v>0</v>
      </c>
      <c r="W61" s="81"/>
      <c r="X61" s="80">
        <v>0</v>
      </c>
      <c r="Y61" s="81"/>
      <c r="Z61" s="80">
        <v>0</v>
      </c>
      <c r="AA61" s="80">
        <v>0</v>
      </c>
      <c r="AB61" s="80">
        <v>0</v>
      </c>
      <c r="AC61" s="81"/>
      <c r="AD61" s="81"/>
      <c r="AE61" s="81"/>
      <c r="AF61" s="80">
        <v>0</v>
      </c>
      <c r="AG61" s="81"/>
    </row>
    <row r="62" spans="1:33">
      <c r="A62" s="14" t="s">
        <v>105</v>
      </c>
      <c r="B62" s="8" t="s">
        <v>121</v>
      </c>
      <c r="C62" s="11"/>
      <c r="D62" s="13">
        <v>107318</v>
      </c>
      <c r="E62" s="13">
        <v>10</v>
      </c>
      <c r="F62" s="78">
        <f t="shared" si="0"/>
        <v>31364</v>
      </c>
      <c r="G62" s="79">
        <f t="shared" si="1"/>
        <v>28008</v>
      </c>
      <c r="H62" s="80">
        <v>27244</v>
      </c>
      <c r="I62" s="81">
        <v>23620</v>
      </c>
      <c r="J62" s="80">
        <v>12</v>
      </c>
      <c r="K62" s="81">
        <v>12</v>
      </c>
      <c r="L62" s="80">
        <v>4108</v>
      </c>
      <c r="M62" s="80">
        <v>0</v>
      </c>
      <c r="N62" s="80">
        <v>0</v>
      </c>
      <c r="O62" s="81">
        <v>4376</v>
      </c>
      <c r="P62" s="81">
        <v>0</v>
      </c>
      <c r="Q62" s="81">
        <v>0</v>
      </c>
      <c r="R62" s="80">
        <v>0</v>
      </c>
      <c r="S62" s="81">
        <v>0</v>
      </c>
      <c r="T62" s="78">
        <f t="shared" si="2"/>
        <v>0</v>
      </c>
      <c r="U62" s="79">
        <f t="shared" si="3"/>
        <v>0</v>
      </c>
      <c r="V62" s="80">
        <v>0</v>
      </c>
      <c r="W62" s="81"/>
      <c r="X62" s="80">
        <v>0</v>
      </c>
      <c r="Y62" s="81"/>
      <c r="Z62" s="80">
        <v>0</v>
      </c>
      <c r="AA62" s="80">
        <v>0</v>
      </c>
      <c r="AB62" s="80">
        <v>0</v>
      </c>
      <c r="AC62" s="81"/>
      <c r="AD62" s="81"/>
      <c r="AE62" s="81"/>
      <c r="AF62" s="80">
        <v>0</v>
      </c>
      <c r="AG62" s="81"/>
    </row>
    <row r="63" spans="1:33">
      <c r="A63" s="14" t="s">
        <v>105</v>
      </c>
      <c r="B63" s="12" t="s">
        <v>122</v>
      </c>
      <c r="C63" s="11"/>
      <c r="D63" s="13">
        <v>420538</v>
      </c>
      <c r="E63" s="13">
        <v>10</v>
      </c>
      <c r="F63" s="78">
        <f t="shared" si="0"/>
        <v>32005</v>
      </c>
      <c r="G63" s="79">
        <f t="shared" si="1"/>
        <v>29408</v>
      </c>
      <c r="H63" s="80">
        <v>15109</v>
      </c>
      <c r="I63" s="81">
        <v>12951</v>
      </c>
      <c r="J63" s="80">
        <v>4319</v>
      </c>
      <c r="K63" s="81">
        <v>5024</v>
      </c>
      <c r="L63" s="80">
        <v>11881</v>
      </c>
      <c r="M63" s="80">
        <v>696</v>
      </c>
      <c r="N63" s="80">
        <v>0</v>
      </c>
      <c r="O63" s="81">
        <v>10949</v>
      </c>
      <c r="P63" s="81">
        <v>484</v>
      </c>
      <c r="Q63" s="81">
        <v>0</v>
      </c>
      <c r="R63" s="80">
        <v>0</v>
      </c>
      <c r="S63" s="81">
        <v>0</v>
      </c>
      <c r="T63" s="78">
        <f t="shared" si="2"/>
        <v>0</v>
      </c>
      <c r="U63" s="79">
        <f t="shared" si="3"/>
        <v>0</v>
      </c>
      <c r="V63" s="80">
        <v>0</v>
      </c>
      <c r="W63" s="81"/>
      <c r="X63" s="80">
        <v>0</v>
      </c>
      <c r="Y63" s="81"/>
      <c r="Z63" s="80">
        <v>0</v>
      </c>
      <c r="AA63" s="80">
        <v>0</v>
      </c>
      <c r="AB63" s="80">
        <v>0</v>
      </c>
      <c r="AC63" s="81"/>
      <c r="AD63" s="81"/>
      <c r="AE63" s="81"/>
      <c r="AF63" s="80">
        <v>0</v>
      </c>
      <c r="AG63" s="81"/>
    </row>
    <row r="64" spans="1:33">
      <c r="A64" s="14" t="s">
        <v>105</v>
      </c>
      <c r="B64" s="12" t="s">
        <v>123</v>
      </c>
      <c r="C64" s="11"/>
      <c r="D64" s="13">
        <v>440402</v>
      </c>
      <c r="E64" s="13">
        <v>10</v>
      </c>
      <c r="F64" s="78">
        <f t="shared" si="0"/>
        <v>55273</v>
      </c>
      <c r="G64" s="79">
        <f t="shared" si="1"/>
        <v>55631</v>
      </c>
      <c r="H64" s="80">
        <v>25855</v>
      </c>
      <c r="I64" s="81">
        <v>29607</v>
      </c>
      <c r="J64" s="80">
        <v>7961</v>
      </c>
      <c r="K64" s="81">
        <v>5075</v>
      </c>
      <c r="L64" s="80">
        <v>21406</v>
      </c>
      <c r="M64" s="80">
        <v>51</v>
      </c>
      <c r="N64" s="80">
        <v>0</v>
      </c>
      <c r="O64" s="81">
        <v>20949</v>
      </c>
      <c r="P64" s="81">
        <v>0</v>
      </c>
      <c r="Q64" s="81">
        <v>0</v>
      </c>
      <c r="R64" s="80">
        <v>0</v>
      </c>
      <c r="S64" s="81">
        <v>0</v>
      </c>
      <c r="T64" s="78">
        <f t="shared" si="2"/>
        <v>0</v>
      </c>
      <c r="U64" s="79">
        <f t="shared" si="3"/>
        <v>0</v>
      </c>
      <c r="V64" s="80">
        <v>0</v>
      </c>
      <c r="W64" s="81"/>
      <c r="X64" s="80">
        <v>0</v>
      </c>
      <c r="Y64" s="81"/>
      <c r="Z64" s="80">
        <v>0</v>
      </c>
      <c r="AA64" s="80">
        <v>0</v>
      </c>
      <c r="AB64" s="80">
        <v>0</v>
      </c>
      <c r="AC64" s="81"/>
      <c r="AD64" s="81"/>
      <c r="AE64" s="81"/>
      <c r="AF64" s="80">
        <v>0</v>
      </c>
      <c r="AG64" s="81"/>
    </row>
    <row r="65" spans="1:33">
      <c r="A65" s="14" t="s">
        <v>105</v>
      </c>
      <c r="B65" s="19" t="s">
        <v>124</v>
      </c>
      <c r="C65" s="18"/>
      <c r="D65" s="13">
        <v>106625</v>
      </c>
      <c r="E65" s="13">
        <v>10</v>
      </c>
      <c r="F65" s="78">
        <f t="shared" si="0"/>
        <v>31496</v>
      </c>
      <c r="G65" s="79">
        <f t="shared" si="1"/>
        <v>32148</v>
      </c>
      <c r="H65" s="80">
        <v>17462</v>
      </c>
      <c r="I65" s="81">
        <v>18356</v>
      </c>
      <c r="J65" s="80">
        <v>2798</v>
      </c>
      <c r="K65" s="81">
        <v>2118</v>
      </c>
      <c r="L65" s="80">
        <v>9589</v>
      </c>
      <c r="M65" s="80">
        <v>1647</v>
      </c>
      <c r="N65" s="80">
        <v>0</v>
      </c>
      <c r="O65" s="81">
        <v>10290</v>
      </c>
      <c r="P65" s="81">
        <v>1384</v>
      </c>
      <c r="Q65" s="81">
        <v>0</v>
      </c>
      <c r="R65" s="80">
        <v>0</v>
      </c>
      <c r="S65" s="81">
        <v>0</v>
      </c>
      <c r="T65" s="78">
        <f t="shared" si="2"/>
        <v>0</v>
      </c>
      <c r="U65" s="79">
        <f t="shared" si="3"/>
        <v>0</v>
      </c>
      <c r="V65" s="80">
        <v>0</v>
      </c>
      <c r="W65" s="81"/>
      <c r="X65" s="80">
        <v>0</v>
      </c>
      <c r="Y65" s="81"/>
      <c r="Z65" s="80">
        <v>0</v>
      </c>
      <c r="AA65" s="80">
        <v>0</v>
      </c>
      <c r="AB65" s="80">
        <v>0</v>
      </c>
      <c r="AC65" s="81"/>
      <c r="AD65" s="81"/>
      <c r="AE65" s="81"/>
      <c r="AF65" s="80">
        <v>0</v>
      </c>
      <c r="AG65" s="81"/>
    </row>
    <row r="66" spans="1:33">
      <c r="A66" s="14" t="s">
        <v>105</v>
      </c>
      <c r="B66" s="12" t="s">
        <v>125</v>
      </c>
      <c r="C66" s="16"/>
      <c r="D66" s="13">
        <v>107521</v>
      </c>
      <c r="E66" s="13">
        <v>10</v>
      </c>
      <c r="F66" s="78">
        <f t="shared" si="0"/>
        <v>23711</v>
      </c>
      <c r="G66" s="79">
        <f t="shared" si="1"/>
        <v>23499</v>
      </c>
      <c r="H66" s="80">
        <v>17400</v>
      </c>
      <c r="I66" s="81">
        <v>18244</v>
      </c>
      <c r="J66" s="80">
        <v>1752</v>
      </c>
      <c r="K66" s="81">
        <v>1339</v>
      </c>
      <c r="L66" s="80">
        <v>4559</v>
      </c>
      <c r="M66" s="80">
        <v>0</v>
      </c>
      <c r="N66" s="80">
        <v>0</v>
      </c>
      <c r="O66" s="81">
        <v>3916</v>
      </c>
      <c r="P66" s="81">
        <v>0</v>
      </c>
      <c r="Q66" s="81">
        <v>0</v>
      </c>
      <c r="R66" s="80">
        <v>0</v>
      </c>
      <c r="S66" s="81">
        <v>0</v>
      </c>
      <c r="T66" s="78">
        <f t="shared" si="2"/>
        <v>0</v>
      </c>
      <c r="U66" s="79">
        <f t="shared" si="3"/>
        <v>0</v>
      </c>
      <c r="V66" s="80">
        <v>0</v>
      </c>
      <c r="W66" s="81"/>
      <c r="X66" s="80">
        <v>0</v>
      </c>
      <c r="Y66" s="81"/>
      <c r="Z66" s="80">
        <v>0</v>
      </c>
      <c r="AA66" s="80">
        <v>0</v>
      </c>
      <c r="AB66" s="80">
        <v>0</v>
      </c>
      <c r="AC66" s="81"/>
      <c r="AD66" s="81"/>
      <c r="AE66" s="81"/>
      <c r="AF66" s="80">
        <v>0</v>
      </c>
      <c r="AG66" s="81"/>
    </row>
    <row r="67" spans="1:33">
      <c r="A67" s="14" t="s">
        <v>105</v>
      </c>
      <c r="B67" s="12" t="s">
        <v>126</v>
      </c>
      <c r="C67" s="11"/>
      <c r="D67" s="13">
        <v>106795</v>
      </c>
      <c r="E67" s="13">
        <v>10</v>
      </c>
      <c r="F67" s="78">
        <f t="shared" si="0"/>
        <v>28453</v>
      </c>
      <c r="G67" s="79">
        <f t="shared" si="1"/>
        <v>27395</v>
      </c>
      <c r="H67" s="80">
        <v>6429</v>
      </c>
      <c r="I67" s="81">
        <v>6314</v>
      </c>
      <c r="J67" s="80">
        <v>10843</v>
      </c>
      <c r="K67" s="81">
        <v>10377</v>
      </c>
      <c r="L67" s="80">
        <v>7820</v>
      </c>
      <c r="M67" s="80">
        <v>3361</v>
      </c>
      <c r="N67" s="80">
        <v>0</v>
      </c>
      <c r="O67" s="81">
        <v>7550</v>
      </c>
      <c r="P67" s="81">
        <v>3154</v>
      </c>
      <c r="Q67" s="81">
        <v>0</v>
      </c>
      <c r="R67" s="80">
        <v>0</v>
      </c>
      <c r="S67" s="81">
        <v>0</v>
      </c>
      <c r="T67" s="78">
        <f t="shared" si="2"/>
        <v>0</v>
      </c>
      <c r="U67" s="79">
        <f t="shared" si="3"/>
        <v>0</v>
      </c>
      <c r="V67" s="80">
        <v>0</v>
      </c>
      <c r="W67" s="81"/>
      <c r="X67" s="80">
        <v>0</v>
      </c>
      <c r="Y67" s="81"/>
      <c r="Z67" s="80">
        <v>0</v>
      </c>
      <c r="AA67" s="80">
        <v>0</v>
      </c>
      <c r="AB67" s="80">
        <v>0</v>
      </c>
      <c r="AC67" s="81"/>
      <c r="AD67" s="81"/>
      <c r="AE67" s="81"/>
      <c r="AF67" s="80">
        <v>0</v>
      </c>
      <c r="AG67" s="81"/>
    </row>
    <row r="68" spans="1:33">
      <c r="A68" s="14" t="s">
        <v>105</v>
      </c>
      <c r="B68" s="12" t="s">
        <v>127</v>
      </c>
      <c r="C68" s="11"/>
      <c r="D68" s="13">
        <v>106883</v>
      </c>
      <c r="E68" s="13">
        <v>10</v>
      </c>
      <c r="F68" s="78">
        <f t="shared" si="0"/>
        <v>21629</v>
      </c>
      <c r="G68" s="79">
        <f t="shared" si="1"/>
        <v>19473</v>
      </c>
      <c r="H68" s="80">
        <v>9464</v>
      </c>
      <c r="I68" s="81">
        <v>9276</v>
      </c>
      <c r="J68" s="80">
        <v>6322</v>
      </c>
      <c r="K68" s="81">
        <v>3782</v>
      </c>
      <c r="L68" s="80">
        <v>5843</v>
      </c>
      <c r="M68" s="80">
        <v>0</v>
      </c>
      <c r="N68" s="80">
        <v>0</v>
      </c>
      <c r="O68" s="81">
        <v>6415</v>
      </c>
      <c r="P68" s="81">
        <v>0</v>
      </c>
      <c r="Q68" s="81">
        <v>0</v>
      </c>
      <c r="R68" s="80">
        <v>0</v>
      </c>
      <c r="S68" s="81">
        <v>0</v>
      </c>
      <c r="T68" s="78">
        <f t="shared" si="2"/>
        <v>0</v>
      </c>
      <c r="U68" s="79">
        <f t="shared" si="3"/>
        <v>0</v>
      </c>
      <c r="V68" s="80">
        <v>0</v>
      </c>
      <c r="W68" s="81"/>
      <c r="X68" s="80">
        <v>0</v>
      </c>
      <c r="Y68" s="81"/>
      <c r="Z68" s="80">
        <v>0</v>
      </c>
      <c r="AA68" s="80">
        <v>0</v>
      </c>
      <c r="AB68" s="80">
        <v>0</v>
      </c>
      <c r="AC68" s="81"/>
      <c r="AD68" s="81"/>
      <c r="AE68" s="81"/>
      <c r="AF68" s="80">
        <v>0</v>
      </c>
      <c r="AG68" s="81"/>
    </row>
    <row r="69" spans="1:33">
      <c r="A69" s="14" t="s">
        <v>105</v>
      </c>
      <c r="B69" s="12" t="s">
        <v>128</v>
      </c>
      <c r="C69" s="11"/>
      <c r="D69" s="13">
        <v>107460</v>
      </c>
      <c r="E69" s="13">
        <v>10</v>
      </c>
      <c r="F69" s="78">
        <f t="shared" si="0"/>
        <v>39805</v>
      </c>
      <c r="G69" s="79">
        <f t="shared" si="1"/>
        <v>40175</v>
      </c>
      <c r="H69" s="80">
        <v>28191</v>
      </c>
      <c r="I69" s="81">
        <v>29012</v>
      </c>
      <c r="J69" s="80">
        <v>3099</v>
      </c>
      <c r="K69" s="81">
        <v>1002</v>
      </c>
      <c r="L69" s="80">
        <v>8442</v>
      </c>
      <c r="M69" s="80">
        <v>73</v>
      </c>
      <c r="N69" s="80">
        <v>0</v>
      </c>
      <c r="O69" s="81">
        <v>10018</v>
      </c>
      <c r="P69" s="81">
        <v>143</v>
      </c>
      <c r="Q69" s="81">
        <v>0</v>
      </c>
      <c r="R69" s="80">
        <v>0</v>
      </c>
      <c r="S69" s="81">
        <v>0</v>
      </c>
      <c r="T69" s="78">
        <f t="shared" si="2"/>
        <v>0</v>
      </c>
      <c r="U69" s="79">
        <f t="shared" si="3"/>
        <v>0</v>
      </c>
      <c r="V69" s="80">
        <v>0</v>
      </c>
      <c r="W69" s="81"/>
      <c r="X69" s="80">
        <v>0</v>
      </c>
      <c r="Y69" s="81"/>
      <c r="Z69" s="80">
        <v>0</v>
      </c>
      <c r="AA69" s="80">
        <v>0</v>
      </c>
      <c r="AB69" s="80">
        <v>0</v>
      </c>
      <c r="AC69" s="81"/>
      <c r="AD69" s="81"/>
      <c r="AE69" s="81"/>
      <c r="AF69" s="80">
        <v>0</v>
      </c>
      <c r="AG69" s="81"/>
    </row>
    <row r="70" spans="1:33">
      <c r="A70" s="14" t="s">
        <v>105</v>
      </c>
      <c r="B70" s="12" t="s">
        <v>129</v>
      </c>
      <c r="C70" s="11"/>
      <c r="D70" s="13">
        <v>107549</v>
      </c>
      <c r="E70" s="13">
        <v>10</v>
      </c>
      <c r="F70" s="78">
        <f t="shared" si="0"/>
        <v>24774</v>
      </c>
      <c r="G70" s="79">
        <f t="shared" si="1"/>
        <v>24123</v>
      </c>
      <c r="H70" s="80">
        <v>11882</v>
      </c>
      <c r="I70" s="81">
        <v>11932</v>
      </c>
      <c r="J70" s="80">
        <v>1612</v>
      </c>
      <c r="K70" s="81">
        <v>1471</v>
      </c>
      <c r="L70" s="80">
        <v>11133</v>
      </c>
      <c r="M70" s="80">
        <v>147</v>
      </c>
      <c r="N70" s="80">
        <v>0</v>
      </c>
      <c r="O70" s="81">
        <v>10720</v>
      </c>
      <c r="P70" s="81">
        <v>0</v>
      </c>
      <c r="Q70" s="81">
        <v>0</v>
      </c>
      <c r="R70" s="80">
        <v>0</v>
      </c>
      <c r="S70" s="81">
        <v>0</v>
      </c>
      <c r="T70" s="78">
        <f t="shared" si="2"/>
        <v>0</v>
      </c>
      <c r="U70" s="79">
        <f t="shared" si="3"/>
        <v>0</v>
      </c>
      <c r="V70" s="80">
        <v>0</v>
      </c>
      <c r="W70" s="81"/>
      <c r="X70" s="80">
        <v>0</v>
      </c>
      <c r="Y70" s="81"/>
      <c r="Z70" s="80">
        <v>0</v>
      </c>
      <c r="AA70" s="80">
        <v>0</v>
      </c>
      <c r="AB70" s="80">
        <v>0</v>
      </c>
      <c r="AC70" s="81"/>
      <c r="AD70" s="81"/>
      <c r="AE70" s="81"/>
      <c r="AF70" s="80">
        <v>0</v>
      </c>
      <c r="AG70" s="81"/>
    </row>
    <row r="71" spans="1:33">
      <c r="A71" s="14" t="s">
        <v>105</v>
      </c>
      <c r="B71" s="12" t="s">
        <v>130</v>
      </c>
      <c r="C71" s="11"/>
      <c r="D71" s="13">
        <v>107619</v>
      </c>
      <c r="E71" s="13">
        <v>10</v>
      </c>
      <c r="F71" s="78">
        <f t="shared" ref="F71:F79" si="4">SUM(H71,J71,L71,M71,N71,R71)</f>
        <v>29261</v>
      </c>
      <c r="G71" s="79">
        <f t="shared" ref="G71:G79" si="5">SUM(I71,K71,O71,P71,Q71,S71)</f>
        <v>28486</v>
      </c>
      <c r="H71" s="80">
        <v>22069</v>
      </c>
      <c r="I71" s="81">
        <v>21184</v>
      </c>
      <c r="J71" s="80">
        <v>1430</v>
      </c>
      <c r="K71" s="81">
        <v>1447</v>
      </c>
      <c r="L71" s="80">
        <v>3153</v>
      </c>
      <c r="M71" s="80">
        <v>2609</v>
      </c>
      <c r="N71" s="80">
        <v>0</v>
      </c>
      <c r="O71" s="81">
        <v>3375</v>
      </c>
      <c r="P71" s="81">
        <v>2480</v>
      </c>
      <c r="Q71" s="81">
        <v>0</v>
      </c>
      <c r="R71" s="80">
        <v>0</v>
      </c>
      <c r="S71" s="81">
        <v>0</v>
      </c>
      <c r="T71" s="78">
        <f t="shared" ref="T71:T79" si="6">SUM(V71,X71,Z71,AA71,AB71,AF71)</f>
        <v>0</v>
      </c>
      <c r="U71" s="79">
        <f t="shared" ref="U71:U79" si="7">SUM(W71,Y71,AC71,AD71,AE71,AG71)</f>
        <v>0</v>
      </c>
      <c r="V71" s="80">
        <v>0</v>
      </c>
      <c r="W71" s="81"/>
      <c r="X71" s="80">
        <v>0</v>
      </c>
      <c r="Y71" s="81"/>
      <c r="Z71" s="80">
        <v>0</v>
      </c>
      <c r="AA71" s="80">
        <v>0</v>
      </c>
      <c r="AB71" s="80">
        <v>0</v>
      </c>
      <c r="AC71" s="81"/>
      <c r="AD71" s="81"/>
      <c r="AE71" s="81"/>
      <c r="AF71" s="80">
        <v>0</v>
      </c>
      <c r="AG71" s="81"/>
    </row>
    <row r="72" spans="1:33">
      <c r="A72" s="14" t="s">
        <v>105</v>
      </c>
      <c r="B72" s="12" t="s">
        <v>131</v>
      </c>
      <c r="C72" s="11"/>
      <c r="D72" s="13">
        <v>107743</v>
      </c>
      <c r="E72" s="13">
        <v>10</v>
      </c>
      <c r="F72" s="78">
        <f t="shared" si="4"/>
        <v>16038</v>
      </c>
      <c r="G72" s="79">
        <f t="shared" si="5"/>
        <v>16253</v>
      </c>
      <c r="H72" s="80">
        <v>10330</v>
      </c>
      <c r="I72" s="81">
        <v>10256</v>
      </c>
      <c r="J72" s="80">
        <v>2387</v>
      </c>
      <c r="K72" s="81">
        <v>2612</v>
      </c>
      <c r="L72" s="80">
        <v>2982</v>
      </c>
      <c r="M72" s="80">
        <v>339</v>
      </c>
      <c r="N72" s="80">
        <v>0</v>
      </c>
      <c r="O72" s="81">
        <v>3024</v>
      </c>
      <c r="P72" s="81">
        <v>361</v>
      </c>
      <c r="Q72" s="81">
        <v>0</v>
      </c>
      <c r="R72" s="80">
        <v>0</v>
      </c>
      <c r="S72" s="81">
        <v>0</v>
      </c>
      <c r="T72" s="78">
        <f t="shared" si="6"/>
        <v>0</v>
      </c>
      <c r="U72" s="79">
        <f t="shared" si="7"/>
        <v>0</v>
      </c>
      <c r="V72" s="80">
        <v>0</v>
      </c>
      <c r="W72" s="81"/>
      <c r="X72" s="80">
        <v>0</v>
      </c>
      <c r="Y72" s="81"/>
      <c r="Z72" s="80">
        <v>0</v>
      </c>
      <c r="AA72" s="80">
        <v>0</v>
      </c>
      <c r="AB72" s="80">
        <v>0</v>
      </c>
      <c r="AC72" s="81"/>
      <c r="AD72" s="81"/>
      <c r="AE72" s="81"/>
      <c r="AF72" s="80">
        <v>0</v>
      </c>
      <c r="AG72" s="81"/>
    </row>
    <row r="73" spans="1:33">
      <c r="A73" s="14" t="s">
        <v>105</v>
      </c>
      <c r="B73" s="12" t="s">
        <v>132</v>
      </c>
      <c r="C73" s="11"/>
      <c r="D73" s="13">
        <v>107974</v>
      </c>
      <c r="E73" s="13">
        <v>10</v>
      </c>
      <c r="F73" s="78">
        <f t="shared" si="4"/>
        <v>31280</v>
      </c>
      <c r="G73" s="79">
        <f t="shared" si="5"/>
        <v>30749</v>
      </c>
      <c r="H73" s="80">
        <v>21353</v>
      </c>
      <c r="I73" s="81">
        <v>17956</v>
      </c>
      <c r="J73" s="80">
        <v>2161</v>
      </c>
      <c r="K73" s="81">
        <v>3939</v>
      </c>
      <c r="L73" s="80">
        <v>7766</v>
      </c>
      <c r="M73" s="80">
        <v>0</v>
      </c>
      <c r="N73" s="80">
        <v>0</v>
      </c>
      <c r="O73" s="81">
        <v>8854</v>
      </c>
      <c r="P73" s="81">
        <v>0</v>
      </c>
      <c r="Q73" s="81">
        <v>0</v>
      </c>
      <c r="R73" s="80">
        <v>0</v>
      </c>
      <c r="S73" s="81">
        <v>0</v>
      </c>
      <c r="T73" s="78">
        <f t="shared" si="6"/>
        <v>0</v>
      </c>
      <c r="U73" s="79">
        <f t="shared" si="7"/>
        <v>0</v>
      </c>
      <c r="V73" s="80">
        <v>0</v>
      </c>
      <c r="W73" s="81"/>
      <c r="X73" s="80">
        <v>0</v>
      </c>
      <c r="Y73" s="81"/>
      <c r="Z73" s="80">
        <v>0</v>
      </c>
      <c r="AA73" s="80">
        <v>0</v>
      </c>
      <c r="AB73" s="80">
        <v>0</v>
      </c>
      <c r="AC73" s="81"/>
      <c r="AD73" s="81"/>
      <c r="AE73" s="81"/>
      <c r="AF73" s="80">
        <v>0</v>
      </c>
      <c r="AG73" s="81"/>
    </row>
    <row r="74" spans="1:33">
      <c r="A74" s="14" t="s">
        <v>105</v>
      </c>
      <c r="B74" s="12" t="s">
        <v>133</v>
      </c>
      <c r="C74" s="11"/>
      <c r="D74" s="13">
        <v>107637</v>
      </c>
      <c r="E74" s="13">
        <v>10</v>
      </c>
      <c r="F74" s="78">
        <f t="shared" si="4"/>
        <v>30094</v>
      </c>
      <c r="G74" s="79">
        <f t="shared" si="5"/>
        <v>26773</v>
      </c>
      <c r="H74" s="80">
        <v>24311</v>
      </c>
      <c r="I74" s="81">
        <v>21219</v>
      </c>
      <c r="J74" s="80">
        <v>949</v>
      </c>
      <c r="K74" s="81">
        <v>940</v>
      </c>
      <c r="L74" s="80">
        <v>4834</v>
      </c>
      <c r="M74" s="80">
        <v>0</v>
      </c>
      <c r="N74" s="80">
        <v>0</v>
      </c>
      <c r="O74" s="81">
        <v>4614</v>
      </c>
      <c r="P74" s="81">
        <v>0</v>
      </c>
      <c r="Q74" s="81">
        <v>0</v>
      </c>
      <c r="R74" s="80">
        <v>0</v>
      </c>
      <c r="S74" s="81">
        <v>0</v>
      </c>
      <c r="T74" s="78">
        <f t="shared" si="6"/>
        <v>0</v>
      </c>
      <c r="U74" s="79">
        <f t="shared" si="7"/>
        <v>0</v>
      </c>
      <c r="V74" s="80">
        <v>0</v>
      </c>
      <c r="W74" s="81"/>
      <c r="X74" s="80">
        <v>0</v>
      </c>
      <c r="Y74" s="81"/>
      <c r="Z74" s="80">
        <v>0</v>
      </c>
      <c r="AA74" s="80">
        <v>0</v>
      </c>
      <c r="AB74" s="80">
        <v>0</v>
      </c>
      <c r="AC74" s="81"/>
      <c r="AD74" s="81"/>
      <c r="AE74" s="81"/>
      <c r="AF74" s="80">
        <v>0</v>
      </c>
      <c r="AG74" s="81"/>
    </row>
    <row r="75" spans="1:33">
      <c r="A75" s="14" t="s">
        <v>105</v>
      </c>
      <c r="B75" s="12" t="s">
        <v>134</v>
      </c>
      <c r="C75" s="11"/>
      <c r="D75" s="13">
        <v>107992</v>
      </c>
      <c r="E75" s="13">
        <v>10</v>
      </c>
      <c r="F75" s="78">
        <f t="shared" si="4"/>
        <v>33595</v>
      </c>
      <c r="G75" s="79">
        <f t="shared" si="5"/>
        <v>26545</v>
      </c>
      <c r="H75" s="80">
        <v>13383</v>
      </c>
      <c r="I75" s="81">
        <v>12295</v>
      </c>
      <c r="J75" s="80">
        <v>14815</v>
      </c>
      <c r="K75" s="81">
        <v>8706</v>
      </c>
      <c r="L75" s="80">
        <v>5397</v>
      </c>
      <c r="M75" s="80">
        <v>0</v>
      </c>
      <c r="N75" s="80">
        <v>0</v>
      </c>
      <c r="O75" s="81">
        <v>5544</v>
      </c>
      <c r="P75" s="81">
        <v>0</v>
      </c>
      <c r="Q75" s="81">
        <v>0</v>
      </c>
      <c r="R75" s="80">
        <v>0</v>
      </c>
      <c r="S75" s="81">
        <v>0</v>
      </c>
      <c r="T75" s="78">
        <f t="shared" si="6"/>
        <v>0</v>
      </c>
      <c r="U75" s="79">
        <f t="shared" si="7"/>
        <v>0</v>
      </c>
      <c r="V75" s="80">
        <v>0</v>
      </c>
      <c r="W75" s="81"/>
      <c r="X75" s="80">
        <v>0</v>
      </c>
      <c r="Y75" s="81"/>
      <c r="Z75" s="80">
        <v>0</v>
      </c>
      <c r="AA75" s="80">
        <v>0</v>
      </c>
      <c r="AB75" s="80">
        <v>0</v>
      </c>
      <c r="AC75" s="81"/>
      <c r="AD75" s="81"/>
      <c r="AE75" s="81"/>
      <c r="AF75" s="80">
        <v>0</v>
      </c>
      <c r="AG75" s="81"/>
    </row>
    <row r="76" spans="1:33">
      <c r="A76" s="14" t="s">
        <v>105</v>
      </c>
      <c r="B76" s="12" t="s">
        <v>135</v>
      </c>
      <c r="C76" s="11"/>
      <c r="D76" s="13">
        <v>106999</v>
      </c>
      <c r="E76" s="13">
        <v>10</v>
      </c>
      <c r="F76" s="78">
        <f t="shared" si="4"/>
        <v>27814</v>
      </c>
      <c r="G76" s="79">
        <f t="shared" si="5"/>
        <v>26243</v>
      </c>
      <c r="H76" s="80">
        <v>18154</v>
      </c>
      <c r="I76" s="81">
        <v>17150</v>
      </c>
      <c r="J76" s="80">
        <v>1832</v>
      </c>
      <c r="K76" s="81">
        <v>1336</v>
      </c>
      <c r="L76" s="80">
        <v>7828</v>
      </c>
      <c r="M76" s="80">
        <v>0</v>
      </c>
      <c r="N76" s="80">
        <v>0</v>
      </c>
      <c r="O76" s="81">
        <v>7757</v>
      </c>
      <c r="P76" s="81">
        <v>0</v>
      </c>
      <c r="Q76" s="81">
        <v>0</v>
      </c>
      <c r="R76" s="80">
        <v>0</v>
      </c>
      <c r="S76" s="81">
        <v>0</v>
      </c>
      <c r="T76" s="78">
        <f t="shared" si="6"/>
        <v>0</v>
      </c>
      <c r="U76" s="79">
        <f t="shared" si="7"/>
        <v>0</v>
      </c>
      <c r="V76" s="80">
        <v>0</v>
      </c>
      <c r="W76" s="81"/>
      <c r="X76" s="80">
        <v>0</v>
      </c>
      <c r="Y76" s="81"/>
      <c r="Z76" s="80">
        <v>0</v>
      </c>
      <c r="AA76" s="80">
        <v>0</v>
      </c>
      <c r="AB76" s="80">
        <v>0</v>
      </c>
      <c r="AC76" s="81"/>
      <c r="AD76" s="81"/>
      <c r="AE76" s="81"/>
      <c r="AF76" s="80">
        <v>0</v>
      </c>
      <c r="AG76" s="81"/>
    </row>
    <row r="77" spans="1:33">
      <c r="A77" s="14" t="s">
        <v>105</v>
      </c>
      <c r="B77" s="12" t="s">
        <v>136</v>
      </c>
      <c r="C77" s="11"/>
      <c r="D77" s="13">
        <v>107725</v>
      </c>
      <c r="E77" s="13">
        <v>10</v>
      </c>
      <c r="F77" s="78">
        <f t="shared" si="4"/>
        <v>29412</v>
      </c>
      <c r="G77" s="79">
        <f t="shared" si="5"/>
        <v>31184</v>
      </c>
      <c r="H77" s="80">
        <v>15869</v>
      </c>
      <c r="I77" s="81">
        <v>14720</v>
      </c>
      <c r="J77" s="80">
        <v>7626</v>
      </c>
      <c r="K77" s="81">
        <v>9004</v>
      </c>
      <c r="L77" s="80">
        <v>4684</v>
      </c>
      <c r="M77" s="80">
        <v>1233</v>
      </c>
      <c r="N77" s="80">
        <v>0</v>
      </c>
      <c r="O77" s="81">
        <v>5451</v>
      </c>
      <c r="P77" s="81">
        <v>2009</v>
      </c>
      <c r="Q77" s="81">
        <v>0</v>
      </c>
      <c r="R77" s="80">
        <v>0</v>
      </c>
      <c r="S77" s="81">
        <v>0</v>
      </c>
      <c r="T77" s="78">
        <f t="shared" si="6"/>
        <v>0</v>
      </c>
      <c r="U77" s="79">
        <f t="shared" si="7"/>
        <v>0</v>
      </c>
      <c r="V77" s="80">
        <v>0</v>
      </c>
      <c r="W77" s="81"/>
      <c r="X77" s="80">
        <v>0</v>
      </c>
      <c r="Y77" s="81"/>
      <c r="Z77" s="80">
        <v>0</v>
      </c>
      <c r="AA77" s="80">
        <v>0</v>
      </c>
      <c r="AB77" s="80">
        <v>0</v>
      </c>
      <c r="AC77" s="81"/>
      <c r="AD77" s="81"/>
      <c r="AE77" s="81"/>
      <c r="AF77" s="80">
        <v>0</v>
      </c>
      <c r="AG77" s="81"/>
    </row>
    <row r="78" spans="1:33">
      <c r="A78" s="14" t="s">
        <v>105</v>
      </c>
      <c r="B78" s="12" t="s">
        <v>137</v>
      </c>
      <c r="C78" s="11"/>
      <c r="D78" s="13">
        <v>107585</v>
      </c>
      <c r="E78" s="13">
        <v>10</v>
      </c>
      <c r="F78" s="78">
        <f t="shared" si="4"/>
        <v>46040</v>
      </c>
      <c r="G78" s="79">
        <f t="shared" si="5"/>
        <v>44851</v>
      </c>
      <c r="H78" s="80">
        <v>40215</v>
      </c>
      <c r="I78" s="81">
        <v>38993</v>
      </c>
      <c r="J78" s="80">
        <v>30</v>
      </c>
      <c r="K78" s="81">
        <v>0</v>
      </c>
      <c r="L78" s="80">
        <v>5795</v>
      </c>
      <c r="M78" s="80">
        <v>0</v>
      </c>
      <c r="N78" s="80">
        <v>0</v>
      </c>
      <c r="O78" s="81">
        <v>5858</v>
      </c>
      <c r="P78" s="81">
        <v>0</v>
      </c>
      <c r="Q78" s="81">
        <v>0</v>
      </c>
      <c r="R78" s="80">
        <v>0</v>
      </c>
      <c r="S78" s="81">
        <v>0</v>
      </c>
      <c r="T78" s="78">
        <f t="shared" si="6"/>
        <v>0</v>
      </c>
      <c r="U78" s="79">
        <f t="shared" si="7"/>
        <v>0</v>
      </c>
      <c r="V78" s="80">
        <v>0</v>
      </c>
      <c r="W78" s="81"/>
      <c r="X78" s="80">
        <v>0</v>
      </c>
      <c r="Y78" s="81"/>
      <c r="Z78" s="80">
        <v>0</v>
      </c>
      <c r="AA78" s="80">
        <v>0</v>
      </c>
      <c r="AB78" s="80">
        <v>0</v>
      </c>
      <c r="AC78" s="81"/>
      <c r="AD78" s="81"/>
      <c r="AE78" s="81"/>
      <c r="AF78" s="80">
        <v>0</v>
      </c>
      <c r="AG78" s="81"/>
    </row>
    <row r="79" spans="1:33">
      <c r="A79" s="14" t="s">
        <v>105</v>
      </c>
      <c r="B79" s="19" t="s">
        <v>138</v>
      </c>
      <c r="C79" s="18"/>
      <c r="D79" s="17">
        <v>106263</v>
      </c>
      <c r="E79" s="17">
        <v>15</v>
      </c>
      <c r="F79" s="78">
        <f t="shared" si="4"/>
        <v>18675</v>
      </c>
      <c r="G79" s="79">
        <f t="shared" si="5"/>
        <v>18081</v>
      </c>
      <c r="H79" s="80">
        <v>15734</v>
      </c>
      <c r="I79" s="81">
        <v>12214</v>
      </c>
      <c r="J79" s="80">
        <v>413</v>
      </c>
      <c r="K79" s="81">
        <v>595</v>
      </c>
      <c r="L79" s="80">
        <v>2183</v>
      </c>
      <c r="M79" s="80">
        <v>345</v>
      </c>
      <c r="N79" s="80">
        <v>0</v>
      </c>
      <c r="O79" s="81">
        <v>4133</v>
      </c>
      <c r="P79" s="81">
        <v>1139</v>
      </c>
      <c r="Q79" s="81">
        <v>0</v>
      </c>
      <c r="R79" s="80">
        <v>0</v>
      </c>
      <c r="S79" s="81">
        <v>0</v>
      </c>
      <c r="T79" s="78">
        <f t="shared" si="6"/>
        <v>66817</v>
      </c>
      <c r="U79" s="79">
        <f t="shared" si="7"/>
        <v>0</v>
      </c>
      <c r="V79" s="80">
        <v>60880</v>
      </c>
      <c r="W79" s="81"/>
      <c r="X79" s="80">
        <v>847</v>
      </c>
      <c r="Y79" s="81"/>
      <c r="Z79" s="80">
        <v>3080</v>
      </c>
      <c r="AA79" s="80">
        <v>2010</v>
      </c>
      <c r="AB79" s="80">
        <v>0</v>
      </c>
      <c r="AC79" s="81"/>
      <c r="AD79" s="81"/>
      <c r="AE79" s="81"/>
      <c r="AF79" s="80">
        <v>0</v>
      </c>
      <c r="AG79" s="81"/>
    </row>
    <row r="80" spans="1:33" s="44" customFormat="1" ht="13.5" customHeight="1">
      <c r="A80" s="3" t="s">
        <v>143</v>
      </c>
      <c r="B80" s="2" t="s">
        <v>144</v>
      </c>
      <c r="C80" s="1"/>
      <c r="D80" s="93">
        <v>130943</v>
      </c>
      <c r="E80" s="93">
        <v>1</v>
      </c>
      <c r="F80" s="78">
        <f>SUM(H80,J80,L80,M80,N80,R80)</f>
        <v>577848</v>
      </c>
      <c r="G80" s="79">
        <f>SUM(I80,K80,O80,P80,Q80,S80)</f>
        <v>583850</v>
      </c>
      <c r="H80" s="80">
        <v>558155</v>
      </c>
      <c r="I80" s="81">
        <v>562826</v>
      </c>
      <c r="J80" s="80"/>
      <c r="K80" s="81"/>
      <c r="L80" s="80">
        <v>19693</v>
      </c>
      <c r="M80" s="80">
        <v>0</v>
      </c>
      <c r="N80" s="80">
        <v>0</v>
      </c>
      <c r="O80" s="81">
        <v>21024</v>
      </c>
      <c r="P80" s="81">
        <v>0</v>
      </c>
      <c r="Q80" s="81">
        <v>0</v>
      </c>
      <c r="R80" s="80"/>
      <c r="S80" s="81"/>
      <c r="T80" s="78">
        <f>SUM(V80,X80,Z80,AA80,AB80,AF80)</f>
        <v>57909</v>
      </c>
      <c r="U80" s="79">
        <f>SUM(W80,Y80,AC80,AD80,AE80,AG80)</f>
        <v>64419</v>
      </c>
      <c r="V80" s="80">
        <v>52257</v>
      </c>
      <c r="W80" s="81">
        <v>56776</v>
      </c>
      <c r="X80" s="80">
        <v>0</v>
      </c>
      <c r="Y80" s="81">
        <v>0</v>
      </c>
      <c r="Z80" s="80">
        <v>5652</v>
      </c>
      <c r="AA80" s="80">
        <v>0</v>
      </c>
      <c r="AB80" s="80">
        <v>0</v>
      </c>
      <c r="AC80" s="81">
        <v>7643</v>
      </c>
      <c r="AD80" s="81">
        <v>0</v>
      </c>
      <c r="AE80" s="81">
        <v>0</v>
      </c>
      <c r="AF80" s="80"/>
      <c r="AG80" s="81"/>
    </row>
    <row r="81" spans="1:33">
      <c r="A81" s="94" t="s">
        <v>143</v>
      </c>
      <c r="B81" s="2" t="s">
        <v>145</v>
      </c>
      <c r="C81" s="95"/>
      <c r="D81" s="93">
        <v>130934</v>
      </c>
      <c r="E81" s="93">
        <v>3</v>
      </c>
      <c r="F81" s="78">
        <f>SUM(H81,J81,L81,M81,N81,R81)</f>
        <v>127789</v>
      </c>
      <c r="G81" s="79">
        <f>SUM(I81,K81,O81,P81,Q81,S81)</f>
        <v>122955</v>
      </c>
      <c r="H81" s="80">
        <v>122627</v>
      </c>
      <c r="I81" s="81">
        <v>116563</v>
      </c>
      <c r="J81" s="80"/>
      <c r="K81" s="81"/>
      <c r="L81" s="80">
        <v>5162</v>
      </c>
      <c r="M81" s="80">
        <v>0</v>
      </c>
      <c r="N81" s="80">
        <v>0</v>
      </c>
      <c r="O81" s="81">
        <v>6392</v>
      </c>
      <c r="P81" s="81">
        <v>0</v>
      </c>
      <c r="Q81" s="81">
        <v>0</v>
      </c>
      <c r="R81" s="80"/>
      <c r="S81" s="81"/>
      <c r="T81" s="78">
        <f>SUM(V81,X81,Z81,AA81,AB81,AF81)</f>
        <v>6146</v>
      </c>
      <c r="U81" s="79">
        <f>SUM(W81,Y81,AC81,AD81,AE81,AG81)</f>
        <v>5453</v>
      </c>
      <c r="V81" s="80">
        <v>5816</v>
      </c>
      <c r="W81" s="81">
        <v>4883</v>
      </c>
      <c r="X81" s="80"/>
      <c r="Y81" s="81">
        <v>0</v>
      </c>
      <c r="Z81" s="80">
        <v>330</v>
      </c>
      <c r="AA81" s="80">
        <v>0</v>
      </c>
      <c r="AB81" s="80">
        <v>0</v>
      </c>
      <c r="AC81" s="81">
        <v>570</v>
      </c>
      <c r="AD81" s="81">
        <v>0</v>
      </c>
      <c r="AE81" s="81">
        <v>0</v>
      </c>
      <c r="AF81" s="80"/>
      <c r="AG81" s="81"/>
    </row>
    <row r="82" spans="1:33">
      <c r="A82" s="94" t="s">
        <v>143</v>
      </c>
      <c r="B82" s="96" t="s">
        <v>146</v>
      </c>
      <c r="C82" s="97" t="s">
        <v>147</v>
      </c>
      <c r="D82" s="93">
        <v>130907</v>
      </c>
      <c r="E82" s="93">
        <v>9</v>
      </c>
      <c r="F82" s="78">
        <f>SUM(H82,J82,L82,M82,N82,R82)</f>
        <v>276057</v>
      </c>
      <c r="G82" s="79">
        <f>SUM(I82,K82,O82,P82,Q82,S82)</f>
        <v>268781</v>
      </c>
      <c r="H82" s="80">
        <v>237563</v>
      </c>
      <c r="I82" s="81">
        <v>224315</v>
      </c>
      <c r="J82" s="80"/>
      <c r="K82" s="81"/>
      <c r="L82" s="80">
        <v>37297</v>
      </c>
      <c r="M82" s="80">
        <v>969</v>
      </c>
      <c r="N82" s="80">
        <v>228</v>
      </c>
      <c r="O82" s="81">
        <v>43060</v>
      </c>
      <c r="P82" s="81">
        <v>877</v>
      </c>
      <c r="Q82" s="81">
        <v>529</v>
      </c>
      <c r="R82" s="80"/>
      <c r="S82" s="81"/>
      <c r="T82" s="78">
        <f>SUM(V82,X82,Z82,AA82,AB82,AF82)</f>
        <v>0</v>
      </c>
      <c r="U82" s="79">
        <f>SUM(W82,Y82,AC82,AD82,AE82,AG82)</f>
        <v>0</v>
      </c>
      <c r="V82" s="80"/>
      <c r="W82" s="81"/>
      <c r="X82" s="80"/>
      <c r="Y82" s="81"/>
      <c r="Z82" s="80"/>
      <c r="AA82" s="80"/>
      <c r="AB82" s="80"/>
      <c r="AC82" s="81"/>
      <c r="AD82" s="81"/>
      <c r="AE82" s="81"/>
      <c r="AF82" s="80"/>
      <c r="AG82" s="81"/>
    </row>
    <row r="83" spans="1:33" customFormat="1" ht="15">
      <c r="A83" s="98" t="s">
        <v>148</v>
      </c>
      <c r="B83" s="99"/>
      <c r="C83" s="100"/>
      <c r="D83" s="101"/>
      <c r="E83" s="101"/>
    </row>
    <row r="84" spans="1:33" s="44" customFormat="1" ht="13.5" customHeight="1">
      <c r="A84" s="102" t="s">
        <v>148</v>
      </c>
      <c r="B84" s="103" t="s">
        <v>149</v>
      </c>
      <c r="C84" s="108" t="s">
        <v>177</v>
      </c>
      <c r="D84" s="105">
        <v>132693</v>
      </c>
      <c r="E84" s="111">
        <v>7</v>
      </c>
      <c r="F84" s="78">
        <f t="shared" ref="F84:F147" si="8">SUM(H84,J84,L84,M84,N84,R84)</f>
        <v>309025</v>
      </c>
      <c r="G84" s="79">
        <f t="shared" ref="G84:G147" si="9">SUM(I84,K84,O84,P84,Q84,S84)</f>
        <v>310404</v>
      </c>
      <c r="H84" s="80">
        <v>217792</v>
      </c>
      <c r="I84" s="106">
        <v>211033</v>
      </c>
      <c r="J84" s="80">
        <v>7766</v>
      </c>
      <c r="K84" s="106">
        <v>7289</v>
      </c>
      <c r="L84" s="80">
        <v>83467</v>
      </c>
      <c r="M84" s="80">
        <v>0</v>
      </c>
      <c r="N84" s="80">
        <v>0</v>
      </c>
      <c r="O84" s="106">
        <v>92082</v>
      </c>
      <c r="P84" s="106">
        <v>0</v>
      </c>
      <c r="Q84" s="106">
        <v>0</v>
      </c>
      <c r="R84" s="80">
        <v>0</v>
      </c>
      <c r="S84" s="106">
        <v>0</v>
      </c>
      <c r="T84" s="78">
        <f t="shared" ref="T84:T147" si="10">SUM(V84,X84,Z84,AA84,AB84,AF84)</f>
        <v>0</v>
      </c>
      <c r="U84" s="79">
        <f t="shared" ref="U84:U111" si="11">SUM(W84,Y84,AC84,AD84,AE84,AG84)</f>
        <v>0</v>
      </c>
      <c r="V84" s="80"/>
      <c r="W84" s="81"/>
      <c r="X84" s="80"/>
      <c r="Y84" s="81"/>
      <c r="Z84" s="80"/>
      <c r="AA84" s="80"/>
      <c r="AB84" s="80"/>
      <c r="AC84" s="81"/>
      <c r="AD84" s="81"/>
      <c r="AE84" s="81"/>
      <c r="AF84" s="80"/>
      <c r="AG84" s="81"/>
    </row>
    <row r="85" spans="1:33">
      <c r="A85" s="102" t="s">
        <v>148</v>
      </c>
      <c r="B85" s="103" t="s">
        <v>150</v>
      </c>
      <c r="C85" s="107"/>
      <c r="D85" s="105">
        <v>132709</v>
      </c>
      <c r="E85" s="112">
        <v>7</v>
      </c>
      <c r="F85" s="78">
        <f t="shared" si="8"/>
        <v>879832</v>
      </c>
      <c r="G85" s="79">
        <f t="shared" si="9"/>
        <v>858119</v>
      </c>
      <c r="H85" s="80">
        <v>666132</v>
      </c>
      <c r="I85" s="106">
        <v>642297</v>
      </c>
      <c r="J85" s="80">
        <v>58307</v>
      </c>
      <c r="K85" s="106">
        <v>52103</v>
      </c>
      <c r="L85" s="80">
        <v>152360</v>
      </c>
      <c r="M85" s="80">
        <v>0</v>
      </c>
      <c r="N85" s="80">
        <v>3030</v>
      </c>
      <c r="O85" s="106">
        <v>162309</v>
      </c>
      <c r="P85" s="106">
        <v>0</v>
      </c>
      <c r="Q85" s="106">
        <v>1410</v>
      </c>
      <c r="R85" s="80">
        <v>3</v>
      </c>
      <c r="S85" s="106">
        <v>0</v>
      </c>
      <c r="T85" s="78">
        <f t="shared" si="10"/>
        <v>0</v>
      </c>
      <c r="U85" s="79">
        <f t="shared" si="11"/>
        <v>0</v>
      </c>
      <c r="V85" s="80"/>
      <c r="W85" s="81"/>
      <c r="X85" s="80"/>
      <c r="Y85" s="81"/>
      <c r="Z85" s="80"/>
      <c r="AA85" s="80"/>
      <c r="AB85" s="80"/>
      <c r="AC85" s="81"/>
      <c r="AD85" s="81"/>
      <c r="AE85" s="81"/>
      <c r="AF85" s="80"/>
      <c r="AG85" s="81"/>
    </row>
    <row r="86" spans="1:33">
      <c r="A86" s="102" t="s">
        <v>148</v>
      </c>
      <c r="B86" s="103" t="s">
        <v>151</v>
      </c>
      <c r="C86" s="108"/>
      <c r="D86" s="105">
        <v>132851</v>
      </c>
      <c r="E86" s="112">
        <v>7</v>
      </c>
      <c r="F86" s="78">
        <f t="shared" si="8"/>
        <v>150640</v>
      </c>
      <c r="G86" s="79">
        <f t="shared" si="9"/>
        <v>148142</v>
      </c>
      <c r="H86" s="80">
        <v>102020</v>
      </c>
      <c r="I86" s="106">
        <v>97491</v>
      </c>
      <c r="J86" s="80">
        <v>0</v>
      </c>
      <c r="K86" s="106">
        <v>0</v>
      </c>
      <c r="L86" s="80">
        <v>48467</v>
      </c>
      <c r="M86" s="80">
        <v>153</v>
      </c>
      <c r="N86" s="80">
        <v>0</v>
      </c>
      <c r="O86" s="106">
        <v>50650</v>
      </c>
      <c r="P86" s="106">
        <v>1</v>
      </c>
      <c r="Q86" s="106">
        <v>0</v>
      </c>
      <c r="R86" s="80">
        <v>0</v>
      </c>
      <c r="S86" s="106">
        <v>0</v>
      </c>
      <c r="T86" s="78">
        <f t="shared" si="10"/>
        <v>0</v>
      </c>
      <c r="U86" s="79">
        <f t="shared" si="11"/>
        <v>0</v>
      </c>
      <c r="V86" s="80"/>
      <c r="W86" s="81"/>
      <c r="X86" s="80"/>
      <c r="Y86" s="81"/>
      <c r="Z86" s="80"/>
      <c r="AA86" s="80"/>
      <c r="AB86" s="80"/>
      <c r="AC86" s="81"/>
      <c r="AD86" s="81"/>
      <c r="AE86" s="81"/>
      <c r="AF86" s="80"/>
      <c r="AG86" s="81"/>
    </row>
    <row r="87" spans="1:33">
      <c r="A87" s="102" t="s">
        <v>148</v>
      </c>
      <c r="B87" s="103" t="s">
        <v>152</v>
      </c>
      <c r="C87" s="104"/>
      <c r="D87" s="105">
        <v>133021</v>
      </c>
      <c r="E87" s="112">
        <v>7</v>
      </c>
      <c r="F87" s="78">
        <f t="shared" si="8"/>
        <v>40703</v>
      </c>
      <c r="G87" s="79">
        <f t="shared" si="9"/>
        <v>40003</v>
      </c>
      <c r="H87" s="80">
        <v>31082</v>
      </c>
      <c r="I87" s="106">
        <v>29394</v>
      </c>
      <c r="J87" s="80">
        <v>1973</v>
      </c>
      <c r="K87" s="106">
        <v>1476</v>
      </c>
      <c r="L87" s="80">
        <v>7648</v>
      </c>
      <c r="M87" s="80">
        <v>0</v>
      </c>
      <c r="N87" s="80">
        <v>0</v>
      </c>
      <c r="O87" s="106">
        <v>9133</v>
      </c>
      <c r="P87" s="106">
        <v>0</v>
      </c>
      <c r="Q87" s="106">
        <v>0</v>
      </c>
      <c r="R87" s="80">
        <v>0</v>
      </c>
      <c r="S87" s="106">
        <v>0</v>
      </c>
      <c r="T87" s="78">
        <f t="shared" si="10"/>
        <v>0</v>
      </c>
      <c r="U87" s="79">
        <f t="shared" si="11"/>
        <v>0</v>
      </c>
      <c r="V87" s="80"/>
      <c r="W87" s="81"/>
      <c r="X87" s="80"/>
      <c r="Y87" s="81"/>
      <c r="Z87" s="80"/>
      <c r="AA87" s="80"/>
      <c r="AB87" s="80"/>
      <c r="AC87" s="81"/>
      <c r="AD87" s="81"/>
      <c r="AE87" s="81"/>
      <c r="AF87" s="80"/>
      <c r="AG87" s="81"/>
    </row>
    <row r="88" spans="1:33">
      <c r="A88" s="102" t="s">
        <v>148</v>
      </c>
      <c r="B88" s="103" t="s">
        <v>153</v>
      </c>
      <c r="C88" s="104"/>
      <c r="D88" s="105">
        <v>133386</v>
      </c>
      <c r="E88" s="112">
        <v>7</v>
      </c>
      <c r="F88" s="78">
        <f t="shared" si="8"/>
        <v>287352</v>
      </c>
      <c r="G88" s="79">
        <f t="shared" si="9"/>
        <v>293464</v>
      </c>
      <c r="H88" s="80">
        <v>176278</v>
      </c>
      <c r="I88" s="106">
        <v>165740</v>
      </c>
      <c r="J88" s="80">
        <v>674</v>
      </c>
      <c r="K88" s="106">
        <v>6808</v>
      </c>
      <c r="L88" s="80">
        <v>110400</v>
      </c>
      <c r="M88" s="80">
        <v>0</v>
      </c>
      <c r="N88" s="80">
        <v>0</v>
      </c>
      <c r="O88" s="106">
        <v>120916</v>
      </c>
      <c r="P88" s="106">
        <v>0</v>
      </c>
      <c r="Q88" s="106">
        <v>0</v>
      </c>
      <c r="R88" s="80">
        <v>0</v>
      </c>
      <c r="S88" s="106">
        <v>0</v>
      </c>
      <c r="T88" s="78">
        <f t="shared" si="10"/>
        <v>0</v>
      </c>
      <c r="U88" s="79">
        <f t="shared" si="11"/>
        <v>0</v>
      </c>
      <c r="V88" s="80"/>
      <c r="W88" s="81"/>
      <c r="X88" s="80"/>
      <c r="Y88" s="81"/>
      <c r="Z88" s="80"/>
      <c r="AA88" s="80"/>
      <c r="AB88" s="80"/>
      <c r="AC88" s="81"/>
      <c r="AD88" s="81"/>
      <c r="AE88" s="81"/>
      <c r="AF88" s="80"/>
      <c r="AG88" s="81"/>
    </row>
    <row r="89" spans="1:33">
      <c r="A89" s="102" t="s">
        <v>148</v>
      </c>
      <c r="B89" s="109" t="s">
        <v>154</v>
      </c>
      <c r="C89" s="104"/>
      <c r="D89" s="105">
        <v>133508</v>
      </c>
      <c r="E89" s="112">
        <v>7</v>
      </c>
      <c r="F89" s="78">
        <f t="shared" si="8"/>
        <v>317290</v>
      </c>
      <c r="G89" s="79">
        <f t="shared" si="9"/>
        <v>326619</v>
      </c>
      <c r="H89" s="80">
        <v>226142</v>
      </c>
      <c r="I89" s="106">
        <v>231393</v>
      </c>
      <c r="J89" s="80">
        <v>14430</v>
      </c>
      <c r="K89" s="106">
        <v>15256</v>
      </c>
      <c r="L89" s="80">
        <v>74879</v>
      </c>
      <c r="M89" s="80">
        <v>0</v>
      </c>
      <c r="N89" s="80">
        <v>0</v>
      </c>
      <c r="O89" s="106">
        <v>78670</v>
      </c>
      <c r="P89" s="106">
        <v>0</v>
      </c>
      <c r="Q89" s="106">
        <v>0</v>
      </c>
      <c r="R89" s="80">
        <v>1839</v>
      </c>
      <c r="S89" s="106">
        <v>1300</v>
      </c>
      <c r="T89" s="78">
        <f t="shared" si="10"/>
        <v>0</v>
      </c>
      <c r="U89" s="79">
        <f t="shared" si="11"/>
        <v>0</v>
      </c>
      <c r="V89" s="80"/>
      <c r="W89" s="81"/>
      <c r="X89" s="80"/>
      <c r="Y89" s="81"/>
      <c r="Z89" s="80"/>
      <c r="AA89" s="80"/>
      <c r="AB89" s="80"/>
      <c r="AC89" s="81"/>
      <c r="AD89" s="81"/>
      <c r="AE89" s="81"/>
      <c r="AF89" s="80"/>
      <c r="AG89" s="81"/>
    </row>
    <row r="90" spans="1:33">
      <c r="A90" s="102" t="s">
        <v>148</v>
      </c>
      <c r="B90" s="103" t="s">
        <v>155</v>
      </c>
      <c r="C90" s="110"/>
      <c r="D90" s="105">
        <v>133702</v>
      </c>
      <c r="E90" s="112">
        <v>7</v>
      </c>
      <c r="F90" s="78">
        <f t="shared" si="8"/>
        <v>531512</v>
      </c>
      <c r="G90" s="79">
        <f t="shared" si="9"/>
        <v>486161</v>
      </c>
      <c r="H90" s="80">
        <v>314858</v>
      </c>
      <c r="I90" s="106">
        <v>273661</v>
      </c>
      <c r="J90" s="80">
        <v>19874</v>
      </c>
      <c r="K90" s="106">
        <v>14840</v>
      </c>
      <c r="L90" s="80">
        <v>196780</v>
      </c>
      <c r="M90" s="80">
        <v>0</v>
      </c>
      <c r="N90" s="80">
        <v>0</v>
      </c>
      <c r="O90" s="106">
        <v>197660</v>
      </c>
      <c r="P90" s="106">
        <v>0</v>
      </c>
      <c r="Q90" s="106">
        <v>0</v>
      </c>
      <c r="R90" s="80">
        <v>0</v>
      </c>
      <c r="S90" s="106">
        <v>0</v>
      </c>
      <c r="T90" s="78">
        <f t="shared" si="10"/>
        <v>0</v>
      </c>
      <c r="U90" s="79">
        <f t="shared" si="11"/>
        <v>0</v>
      </c>
      <c r="V90" s="80"/>
      <c r="W90" s="81"/>
      <c r="X90" s="80"/>
      <c r="Y90" s="81"/>
      <c r="Z90" s="80"/>
      <c r="AA90" s="80"/>
      <c r="AB90" s="80"/>
      <c r="AC90" s="81"/>
      <c r="AD90" s="81"/>
      <c r="AE90" s="81"/>
      <c r="AF90" s="80"/>
      <c r="AG90" s="81"/>
    </row>
    <row r="91" spans="1:33">
      <c r="A91" s="102" t="s">
        <v>148</v>
      </c>
      <c r="B91" s="103" t="s">
        <v>156</v>
      </c>
      <c r="C91" s="104" t="s">
        <v>147</v>
      </c>
      <c r="D91" s="105">
        <v>133960</v>
      </c>
      <c r="E91" s="112">
        <v>10</v>
      </c>
      <c r="F91" s="78">
        <f t="shared" si="8"/>
        <v>20035</v>
      </c>
      <c r="G91" s="79">
        <f t="shared" si="9"/>
        <v>20126</v>
      </c>
      <c r="H91" s="80">
        <v>14945</v>
      </c>
      <c r="I91" s="106">
        <v>14718</v>
      </c>
      <c r="J91" s="80">
        <v>864</v>
      </c>
      <c r="K91" s="106">
        <v>958</v>
      </c>
      <c r="L91" s="80">
        <v>4226</v>
      </c>
      <c r="M91" s="80">
        <v>0</v>
      </c>
      <c r="N91" s="80">
        <v>0</v>
      </c>
      <c r="O91" s="106">
        <v>4450</v>
      </c>
      <c r="P91" s="106">
        <v>0</v>
      </c>
      <c r="Q91" s="106">
        <v>0</v>
      </c>
      <c r="R91" s="80">
        <v>0</v>
      </c>
      <c r="S91" s="106">
        <v>0</v>
      </c>
      <c r="T91" s="78">
        <f t="shared" si="10"/>
        <v>0</v>
      </c>
      <c r="U91" s="79">
        <f t="shared" si="11"/>
        <v>0</v>
      </c>
      <c r="V91" s="80"/>
      <c r="W91" s="81"/>
      <c r="X91" s="80"/>
      <c r="Y91" s="81"/>
      <c r="Z91" s="80"/>
      <c r="AA91" s="80"/>
      <c r="AB91" s="80"/>
      <c r="AC91" s="81"/>
      <c r="AD91" s="81"/>
      <c r="AE91" s="81"/>
      <c r="AF91" s="80"/>
      <c r="AG91" s="81"/>
    </row>
    <row r="92" spans="1:33">
      <c r="A92" s="102" t="s">
        <v>148</v>
      </c>
      <c r="B92" s="103" t="s">
        <v>157</v>
      </c>
      <c r="C92" s="107"/>
      <c r="D92" s="105">
        <v>134343</v>
      </c>
      <c r="E92" s="112">
        <v>7</v>
      </c>
      <c r="F92" s="78">
        <f t="shared" si="8"/>
        <v>108350</v>
      </c>
      <c r="G92" s="79">
        <f t="shared" si="9"/>
        <v>104166</v>
      </c>
      <c r="H92" s="80">
        <v>66159</v>
      </c>
      <c r="I92" s="106">
        <v>64170</v>
      </c>
      <c r="J92" s="80">
        <v>13531</v>
      </c>
      <c r="K92" s="106">
        <v>11132</v>
      </c>
      <c r="L92" s="80">
        <v>28660</v>
      </c>
      <c r="M92" s="80">
        <v>0</v>
      </c>
      <c r="N92" s="80">
        <v>0</v>
      </c>
      <c r="O92" s="106">
        <v>28864</v>
      </c>
      <c r="P92" s="106">
        <v>0</v>
      </c>
      <c r="Q92" s="106">
        <v>0</v>
      </c>
      <c r="R92" s="80">
        <v>0</v>
      </c>
      <c r="S92" s="106">
        <v>0</v>
      </c>
      <c r="T92" s="78">
        <f t="shared" si="10"/>
        <v>0</v>
      </c>
      <c r="U92" s="79">
        <f t="shared" si="11"/>
        <v>0</v>
      </c>
      <c r="V92" s="80"/>
      <c r="W92" s="81"/>
      <c r="X92" s="80"/>
      <c r="Y92" s="81"/>
      <c r="Z92" s="80"/>
      <c r="AA92" s="80"/>
      <c r="AB92" s="80"/>
      <c r="AC92" s="81"/>
      <c r="AD92" s="81"/>
      <c r="AE92" s="81"/>
      <c r="AF92" s="80"/>
      <c r="AG92" s="81"/>
    </row>
    <row r="93" spans="1:33">
      <c r="A93" s="102" t="s">
        <v>148</v>
      </c>
      <c r="B93" s="103" t="s">
        <v>158</v>
      </c>
      <c r="C93" s="104"/>
      <c r="D93" s="105">
        <v>134495</v>
      </c>
      <c r="E93" s="112">
        <v>8</v>
      </c>
      <c r="F93" s="78">
        <f t="shared" si="8"/>
        <v>556098</v>
      </c>
      <c r="G93" s="79">
        <f t="shared" si="9"/>
        <v>563021</v>
      </c>
      <c r="H93" s="80">
        <v>401069</v>
      </c>
      <c r="I93" s="106">
        <v>388663</v>
      </c>
      <c r="J93" s="80">
        <v>19986</v>
      </c>
      <c r="K93" s="106">
        <v>20438</v>
      </c>
      <c r="L93" s="80">
        <v>133483</v>
      </c>
      <c r="M93" s="80">
        <v>0</v>
      </c>
      <c r="N93" s="80">
        <v>1560</v>
      </c>
      <c r="O93" s="106">
        <v>153144</v>
      </c>
      <c r="P93" s="106">
        <v>0</v>
      </c>
      <c r="Q93" s="106">
        <v>776</v>
      </c>
      <c r="R93" s="80">
        <v>0</v>
      </c>
      <c r="S93" s="106">
        <v>0</v>
      </c>
      <c r="T93" s="78">
        <f t="shared" si="10"/>
        <v>0</v>
      </c>
      <c r="U93" s="79">
        <f t="shared" si="11"/>
        <v>0</v>
      </c>
      <c r="V93" s="80"/>
      <c r="W93" s="81"/>
      <c r="X93" s="80"/>
      <c r="Y93" s="81"/>
      <c r="Z93" s="80"/>
      <c r="AA93" s="80"/>
      <c r="AB93" s="80"/>
      <c r="AC93" s="81"/>
      <c r="AD93" s="81"/>
      <c r="AE93" s="81"/>
      <c r="AF93" s="80"/>
      <c r="AG93" s="81"/>
    </row>
    <row r="94" spans="1:33">
      <c r="A94" s="102" t="s">
        <v>148</v>
      </c>
      <c r="B94" s="103" t="s">
        <v>159</v>
      </c>
      <c r="C94" s="110"/>
      <c r="D94" s="105">
        <v>134608</v>
      </c>
      <c r="E94" s="112">
        <v>7</v>
      </c>
      <c r="F94" s="78">
        <f t="shared" si="8"/>
        <v>351893</v>
      </c>
      <c r="G94" s="79">
        <f t="shared" si="9"/>
        <v>345104</v>
      </c>
      <c r="H94" s="80">
        <v>239719</v>
      </c>
      <c r="I94" s="106">
        <v>219547</v>
      </c>
      <c r="J94" s="80">
        <v>19801</v>
      </c>
      <c r="K94" s="106">
        <v>31207</v>
      </c>
      <c r="L94" s="80">
        <v>92037</v>
      </c>
      <c r="M94" s="80">
        <v>0</v>
      </c>
      <c r="N94" s="80">
        <v>0</v>
      </c>
      <c r="O94" s="106">
        <v>94037</v>
      </c>
      <c r="P94" s="106">
        <v>0</v>
      </c>
      <c r="Q94" s="106">
        <v>0</v>
      </c>
      <c r="R94" s="80">
        <v>336</v>
      </c>
      <c r="S94" s="106">
        <v>313</v>
      </c>
      <c r="T94" s="78">
        <f t="shared" si="10"/>
        <v>0</v>
      </c>
      <c r="U94" s="79">
        <f t="shared" si="11"/>
        <v>0</v>
      </c>
      <c r="V94" s="80"/>
      <c r="W94" s="81"/>
      <c r="X94" s="80"/>
      <c r="Y94" s="81"/>
      <c r="Z94" s="80"/>
      <c r="AA94" s="80"/>
      <c r="AB94" s="80"/>
      <c r="AC94" s="81"/>
      <c r="AD94" s="81"/>
      <c r="AE94" s="81"/>
      <c r="AF94" s="80"/>
      <c r="AG94" s="81"/>
    </row>
    <row r="95" spans="1:33">
      <c r="A95" s="102" t="s">
        <v>148</v>
      </c>
      <c r="B95" s="103" t="s">
        <v>160</v>
      </c>
      <c r="C95" s="108"/>
      <c r="D95" s="105">
        <v>135160</v>
      </c>
      <c r="E95" s="112">
        <v>7</v>
      </c>
      <c r="F95" s="78">
        <f t="shared" si="8"/>
        <v>55912</v>
      </c>
      <c r="G95" s="79">
        <f t="shared" si="9"/>
        <v>60992</v>
      </c>
      <c r="H95" s="80">
        <v>24190</v>
      </c>
      <c r="I95" s="106">
        <v>24704</v>
      </c>
      <c r="J95" s="80">
        <v>4821</v>
      </c>
      <c r="K95" s="106">
        <v>5460</v>
      </c>
      <c r="L95" s="80">
        <v>26901</v>
      </c>
      <c r="M95" s="80">
        <v>0</v>
      </c>
      <c r="N95" s="80">
        <v>0</v>
      </c>
      <c r="O95" s="106">
        <v>30822</v>
      </c>
      <c r="P95" s="106">
        <v>0</v>
      </c>
      <c r="Q95" s="106">
        <v>6</v>
      </c>
      <c r="R95" s="80">
        <v>0</v>
      </c>
      <c r="S95" s="106">
        <v>0</v>
      </c>
      <c r="T95" s="78">
        <f t="shared" si="10"/>
        <v>0</v>
      </c>
      <c r="U95" s="79">
        <f t="shared" si="11"/>
        <v>0</v>
      </c>
      <c r="V95" s="80"/>
      <c r="W95" s="81"/>
      <c r="X95" s="80"/>
      <c r="Y95" s="81"/>
      <c r="Z95" s="80"/>
      <c r="AA95" s="80"/>
      <c r="AB95" s="80"/>
      <c r="AC95" s="81"/>
      <c r="AD95" s="81"/>
      <c r="AE95" s="81"/>
      <c r="AF95" s="80"/>
      <c r="AG95" s="81"/>
    </row>
    <row r="96" spans="1:33">
      <c r="A96" s="102" t="s">
        <v>148</v>
      </c>
      <c r="B96" s="103" t="s">
        <v>161</v>
      </c>
      <c r="C96" s="108" t="s">
        <v>177</v>
      </c>
      <c r="D96" s="105">
        <v>135188</v>
      </c>
      <c r="E96" s="111">
        <v>7</v>
      </c>
      <c r="F96" s="78">
        <f t="shared" si="8"/>
        <v>88263</v>
      </c>
      <c r="G96" s="79">
        <f t="shared" si="9"/>
        <v>91458</v>
      </c>
      <c r="H96" s="80">
        <v>63566</v>
      </c>
      <c r="I96" s="106">
        <v>63244</v>
      </c>
      <c r="J96" s="80">
        <v>0</v>
      </c>
      <c r="K96" s="106">
        <v>0</v>
      </c>
      <c r="L96" s="80">
        <v>24697</v>
      </c>
      <c r="M96" s="80">
        <v>0</v>
      </c>
      <c r="N96" s="80">
        <v>0</v>
      </c>
      <c r="O96" s="106">
        <v>28214</v>
      </c>
      <c r="P96" s="106">
        <v>0</v>
      </c>
      <c r="Q96" s="106">
        <v>0</v>
      </c>
      <c r="R96" s="80">
        <v>0</v>
      </c>
      <c r="S96" s="106">
        <v>0</v>
      </c>
      <c r="T96" s="78">
        <f t="shared" si="10"/>
        <v>0</v>
      </c>
      <c r="U96" s="79">
        <f t="shared" si="11"/>
        <v>0</v>
      </c>
      <c r="V96" s="80"/>
      <c r="W96" s="81"/>
      <c r="X96" s="80"/>
      <c r="Y96" s="81"/>
      <c r="Z96" s="80"/>
      <c r="AA96" s="80"/>
      <c r="AB96" s="80"/>
      <c r="AC96" s="81"/>
      <c r="AD96" s="81"/>
      <c r="AE96" s="81"/>
      <c r="AF96" s="80"/>
      <c r="AG96" s="81"/>
    </row>
    <row r="97" spans="1:33">
      <c r="A97" s="102" t="s">
        <v>148</v>
      </c>
      <c r="B97" s="103" t="s">
        <v>162</v>
      </c>
      <c r="C97" s="107"/>
      <c r="D97" s="105">
        <v>135391</v>
      </c>
      <c r="E97" s="112">
        <v>7</v>
      </c>
      <c r="F97" s="78">
        <f t="shared" si="8"/>
        <v>218323</v>
      </c>
      <c r="G97" s="79">
        <f t="shared" si="9"/>
        <v>209396</v>
      </c>
      <c r="H97" s="80">
        <v>133335</v>
      </c>
      <c r="I97" s="106">
        <v>125418</v>
      </c>
      <c r="J97" s="80">
        <v>11064</v>
      </c>
      <c r="K97" s="106">
        <v>11221</v>
      </c>
      <c r="L97" s="80">
        <v>73924</v>
      </c>
      <c r="M97" s="80">
        <v>0</v>
      </c>
      <c r="N97" s="80">
        <v>0</v>
      </c>
      <c r="O97" s="106">
        <v>72757</v>
      </c>
      <c r="P97" s="106">
        <v>0</v>
      </c>
      <c r="Q97" s="106">
        <v>0</v>
      </c>
      <c r="R97" s="80">
        <v>0</v>
      </c>
      <c r="S97" s="106">
        <v>0</v>
      </c>
      <c r="T97" s="78">
        <f t="shared" si="10"/>
        <v>0</v>
      </c>
      <c r="U97" s="79">
        <f t="shared" si="11"/>
        <v>0</v>
      </c>
      <c r="V97" s="80"/>
      <c r="W97" s="81"/>
      <c r="X97" s="80"/>
      <c r="Y97" s="81"/>
      <c r="Z97" s="80"/>
      <c r="AA97" s="80"/>
      <c r="AB97" s="80"/>
      <c r="AC97" s="81"/>
      <c r="AD97" s="81"/>
      <c r="AE97" s="81"/>
      <c r="AF97" s="80"/>
      <c r="AG97" s="81"/>
    </row>
    <row r="98" spans="1:33">
      <c r="A98" s="102" t="s">
        <v>148</v>
      </c>
      <c r="B98" s="103" t="s">
        <v>163</v>
      </c>
      <c r="C98" s="104"/>
      <c r="D98" s="105">
        <v>135717</v>
      </c>
      <c r="E98" s="112">
        <v>7</v>
      </c>
      <c r="F98" s="78">
        <f t="shared" si="8"/>
        <v>1364503</v>
      </c>
      <c r="G98" s="79">
        <f t="shared" si="9"/>
        <v>1343994</v>
      </c>
      <c r="H98" s="80">
        <v>1231286</v>
      </c>
      <c r="I98" s="106">
        <v>1200118</v>
      </c>
      <c r="J98" s="80">
        <v>13973</v>
      </c>
      <c r="K98" s="106">
        <v>18946</v>
      </c>
      <c r="L98" s="80">
        <v>118853</v>
      </c>
      <c r="M98" s="80">
        <v>0</v>
      </c>
      <c r="N98" s="80">
        <v>0</v>
      </c>
      <c r="O98" s="106">
        <v>123281</v>
      </c>
      <c r="P98" s="106">
        <v>0</v>
      </c>
      <c r="Q98" s="106">
        <v>0</v>
      </c>
      <c r="R98" s="80">
        <v>391</v>
      </c>
      <c r="S98" s="106">
        <v>1649</v>
      </c>
      <c r="T98" s="78">
        <f t="shared" si="10"/>
        <v>0</v>
      </c>
      <c r="U98" s="79">
        <f t="shared" si="11"/>
        <v>0</v>
      </c>
      <c r="V98" s="80"/>
      <c r="W98" s="81"/>
      <c r="X98" s="80"/>
      <c r="Y98" s="81"/>
      <c r="Z98" s="80"/>
      <c r="AA98" s="80"/>
      <c r="AB98" s="80"/>
      <c r="AC98" s="81"/>
      <c r="AD98" s="81"/>
      <c r="AE98" s="81"/>
      <c r="AF98" s="80"/>
      <c r="AG98" s="81"/>
    </row>
    <row r="99" spans="1:33">
      <c r="A99" s="102" t="s">
        <v>148</v>
      </c>
      <c r="B99" s="103" t="s">
        <v>164</v>
      </c>
      <c r="C99" s="104" t="s">
        <v>147</v>
      </c>
      <c r="D99" s="105">
        <v>136145</v>
      </c>
      <c r="E99" s="112">
        <v>10</v>
      </c>
      <c r="F99" s="78">
        <f t="shared" si="8"/>
        <v>21631</v>
      </c>
      <c r="G99" s="79">
        <f t="shared" si="9"/>
        <v>22174</v>
      </c>
      <c r="H99" s="80">
        <v>14339</v>
      </c>
      <c r="I99" s="106">
        <v>13899</v>
      </c>
      <c r="J99" s="80">
        <v>721</v>
      </c>
      <c r="K99" s="106">
        <v>456</v>
      </c>
      <c r="L99" s="80">
        <v>6571</v>
      </c>
      <c r="M99" s="80">
        <v>0</v>
      </c>
      <c r="N99" s="80">
        <v>0</v>
      </c>
      <c r="O99" s="106">
        <v>7819</v>
      </c>
      <c r="P99" s="106">
        <v>0</v>
      </c>
      <c r="Q99" s="106">
        <v>0</v>
      </c>
      <c r="R99" s="80">
        <v>0</v>
      </c>
      <c r="S99" s="106">
        <v>0</v>
      </c>
      <c r="T99" s="78">
        <f t="shared" si="10"/>
        <v>0</v>
      </c>
      <c r="U99" s="79">
        <f t="shared" si="11"/>
        <v>0</v>
      </c>
      <c r="V99" s="80"/>
      <c r="W99" s="81"/>
      <c r="X99" s="80"/>
      <c r="Y99" s="81"/>
      <c r="Z99" s="80"/>
      <c r="AA99" s="80"/>
      <c r="AB99" s="80"/>
      <c r="AC99" s="81"/>
      <c r="AD99" s="81"/>
      <c r="AE99" s="81"/>
      <c r="AF99" s="80"/>
      <c r="AG99" s="81"/>
    </row>
    <row r="100" spans="1:33">
      <c r="A100" s="102" t="s">
        <v>148</v>
      </c>
      <c r="B100" s="103" t="s">
        <v>165</v>
      </c>
      <c r="C100" s="104"/>
      <c r="D100" s="105">
        <v>136233</v>
      </c>
      <c r="E100" s="112">
        <v>7</v>
      </c>
      <c r="F100" s="78">
        <f t="shared" si="8"/>
        <v>113555</v>
      </c>
      <c r="G100" s="79">
        <f t="shared" si="9"/>
        <v>109129</v>
      </c>
      <c r="H100" s="80">
        <v>75348</v>
      </c>
      <c r="I100" s="106">
        <v>65949</v>
      </c>
      <c r="J100" s="80">
        <v>6069</v>
      </c>
      <c r="K100" s="106">
        <v>9073</v>
      </c>
      <c r="L100" s="80">
        <v>32138</v>
      </c>
      <c r="M100" s="80">
        <v>0</v>
      </c>
      <c r="N100" s="80">
        <v>0</v>
      </c>
      <c r="O100" s="106">
        <v>34107</v>
      </c>
      <c r="P100" s="106">
        <v>0</v>
      </c>
      <c r="Q100" s="106">
        <v>0</v>
      </c>
      <c r="R100" s="80">
        <v>0</v>
      </c>
      <c r="S100" s="106">
        <v>0</v>
      </c>
      <c r="T100" s="78">
        <f t="shared" si="10"/>
        <v>0</v>
      </c>
      <c r="U100" s="79">
        <f t="shared" si="11"/>
        <v>0</v>
      </c>
      <c r="V100" s="80"/>
      <c r="W100" s="81"/>
      <c r="X100" s="80"/>
      <c r="Y100" s="81"/>
      <c r="Z100" s="80"/>
      <c r="AA100" s="80"/>
      <c r="AB100" s="80"/>
      <c r="AC100" s="81"/>
      <c r="AD100" s="81"/>
      <c r="AE100" s="81"/>
      <c r="AF100" s="80"/>
      <c r="AG100" s="81"/>
    </row>
    <row r="101" spans="1:33">
      <c r="A101" s="102" t="s">
        <v>148</v>
      </c>
      <c r="B101" s="103" t="s">
        <v>166</v>
      </c>
      <c r="C101" s="107"/>
      <c r="D101" s="105">
        <v>136358</v>
      </c>
      <c r="E101" s="112">
        <v>7</v>
      </c>
      <c r="F101" s="78">
        <f t="shared" si="8"/>
        <v>569162</v>
      </c>
      <c r="G101" s="79">
        <f t="shared" si="9"/>
        <v>585968</v>
      </c>
      <c r="H101" s="80">
        <v>459428</v>
      </c>
      <c r="I101" s="106">
        <v>467394</v>
      </c>
      <c r="J101" s="80">
        <v>8978</v>
      </c>
      <c r="K101" s="106">
        <v>8093</v>
      </c>
      <c r="L101" s="80">
        <v>98281</v>
      </c>
      <c r="M101" s="80">
        <v>0</v>
      </c>
      <c r="N101" s="80">
        <v>2475</v>
      </c>
      <c r="O101" s="106">
        <v>108085</v>
      </c>
      <c r="P101" s="106">
        <v>0</v>
      </c>
      <c r="Q101" s="106">
        <v>2396</v>
      </c>
      <c r="R101" s="80">
        <v>0</v>
      </c>
      <c r="S101" s="106">
        <v>0</v>
      </c>
      <c r="T101" s="78">
        <f t="shared" si="10"/>
        <v>0</v>
      </c>
      <c r="U101" s="79">
        <f t="shared" si="11"/>
        <v>0</v>
      </c>
      <c r="V101" s="80"/>
      <c r="W101" s="81"/>
      <c r="X101" s="80"/>
      <c r="Y101" s="81"/>
      <c r="Z101" s="80"/>
      <c r="AA101" s="80"/>
      <c r="AB101" s="80"/>
      <c r="AC101" s="81"/>
      <c r="AD101" s="81"/>
      <c r="AE101" s="81"/>
      <c r="AF101" s="80"/>
      <c r="AG101" s="81"/>
    </row>
    <row r="102" spans="1:33">
      <c r="A102" s="102" t="s">
        <v>148</v>
      </c>
      <c r="B102" s="109" t="s">
        <v>167</v>
      </c>
      <c r="C102" s="104" t="s">
        <v>178</v>
      </c>
      <c r="D102" s="105">
        <v>136400</v>
      </c>
      <c r="E102" s="112">
        <v>8</v>
      </c>
      <c r="F102" s="78">
        <f t="shared" si="8"/>
        <v>222640</v>
      </c>
      <c r="G102" s="79">
        <f t="shared" si="9"/>
        <v>218649</v>
      </c>
      <c r="H102" s="80">
        <v>144083</v>
      </c>
      <c r="I102" s="106">
        <v>146423</v>
      </c>
      <c r="J102" s="80">
        <v>8879</v>
      </c>
      <c r="K102" s="106">
        <v>10061</v>
      </c>
      <c r="L102" s="80">
        <v>69678</v>
      </c>
      <c r="M102" s="80">
        <v>0</v>
      </c>
      <c r="N102" s="80">
        <v>0</v>
      </c>
      <c r="O102" s="106">
        <v>62165</v>
      </c>
      <c r="P102" s="106">
        <v>0</v>
      </c>
      <c r="Q102" s="106">
        <v>0</v>
      </c>
      <c r="R102" s="80">
        <v>0</v>
      </c>
      <c r="S102" s="106">
        <v>0</v>
      </c>
      <c r="T102" s="78">
        <f t="shared" si="10"/>
        <v>0</v>
      </c>
      <c r="U102" s="79">
        <f t="shared" si="11"/>
        <v>0</v>
      </c>
      <c r="V102" s="80"/>
      <c r="W102" s="81"/>
      <c r="X102" s="80"/>
      <c r="Y102" s="81"/>
      <c r="Z102" s="80"/>
      <c r="AA102" s="80"/>
      <c r="AB102" s="80"/>
      <c r="AC102" s="81"/>
      <c r="AD102" s="81"/>
      <c r="AE102" s="81"/>
      <c r="AF102" s="80"/>
      <c r="AG102" s="81"/>
    </row>
    <row r="103" spans="1:33">
      <c r="A103" s="102" t="s">
        <v>148</v>
      </c>
      <c r="B103" s="103" t="s">
        <v>168</v>
      </c>
      <c r="C103" s="107"/>
      <c r="D103" s="105">
        <v>136473</v>
      </c>
      <c r="E103" s="112">
        <v>7</v>
      </c>
      <c r="F103" s="78">
        <f t="shared" si="8"/>
        <v>186906</v>
      </c>
      <c r="G103" s="79">
        <f t="shared" si="9"/>
        <v>195818</v>
      </c>
      <c r="H103" s="80">
        <v>126428</v>
      </c>
      <c r="I103" s="106">
        <v>127304</v>
      </c>
      <c r="J103" s="80">
        <v>17698</v>
      </c>
      <c r="K103" s="106">
        <v>17127</v>
      </c>
      <c r="L103" s="80">
        <v>42768</v>
      </c>
      <c r="M103" s="80">
        <v>12</v>
      </c>
      <c r="N103" s="80">
        <v>0</v>
      </c>
      <c r="O103" s="106">
        <v>50455</v>
      </c>
      <c r="P103" s="106">
        <v>932</v>
      </c>
      <c r="Q103" s="106">
        <v>0</v>
      </c>
      <c r="R103" s="80">
        <v>0</v>
      </c>
      <c r="S103" s="106">
        <v>0</v>
      </c>
      <c r="T103" s="78">
        <f t="shared" si="10"/>
        <v>0</v>
      </c>
      <c r="U103" s="79">
        <f t="shared" si="11"/>
        <v>0</v>
      </c>
      <c r="V103" s="80"/>
      <c r="W103" s="81"/>
      <c r="X103" s="80"/>
      <c r="Y103" s="81"/>
      <c r="Z103" s="80"/>
      <c r="AA103" s="80"/>
      <c r="AB103" s="80"/>
      <c r="AC103" s="81"/>
      <c r="AD103" s="81"/>
      <c r="AE103" s="81"/>
      <c r="AF103" s="80"/>
      <c r="AG103" s="81"/>
    </row>
    <row r="104" spans="1:33">
      <c r="A104" s="102" t="s">
        <v>148</v>
      </c>
      <c r="B104" s="103" t="s">
        <v>169</v>
      </c>
      <c r="C104" s="107"/>
      <c r="D104" s="105">
        <v>136516</v>
      </c>
      <c r="E104" s="112">
        <v>7</v>
      </c>
      <c r="F104" s="78">
        <f t="shared" si="8"/>
        <v>203929</v>
      </c>
      <c r="G104" s="79">
        <f t="shared" si="9"/>
        <v>194341</v>
      </c>
      <c r="H104" s="80">
        <v>120338</v>
      </c>
      <c r="I104" s="106">
        <v>111408</v>
      </c>
      <c r="J104" s="80">
        <v>21365</v>
      </c>
      <c r="K104" s="106">
        <v>21844</v>
      </c>
      <c r="L104" s="80">
        <v>62226</v>
      </c>
      <c r="M104" s="80">
        <v>0</v>
      </c>
      <c r="N104" s="80">
        <v>0</v>
      </c>
      <c r="O104" s="106">
        <v>61089</v>
      </c>
      <c r="P104" s="106">
        <v>0</v>
      </c>
      <c r="Q104" s="106">
        <v>0</v>
      </c>
      <c r="R104" s="80">
        <v>0</v>
      </c>
      <c r="S104" s="106">
        <v>0</v>
      </c>
      <c r="T104" s="78">
        <f t="shared" si="10"/>
        <v>0</v>
      </c>
      <c r="U104" s="79">
        <f t="shared" si="11"/>
        <v>0</v>
      </c>
      <c r="V104" s="80"/>
      <c r="W104" s="81"/>
      <c r="X104" s="80"/>
      <c r="Y104" s="81"/>
      <c r="Z104" s="80"/>
      <c r="AA104" s="80"/>
      <c r="AB104" s="80"/>
      <c r="AC104" s="81"/>
      <c r="AD104" s="81"/>
      <c r="AE104" s="81"/>
      <c r="AF104" s="80"/>
      <c r="AG104" s="81"/>
    </row>
    <row r="105" spans="1:33">
      <c r="A105" s="102" t="s">
        <v>148</v>
      </c>
      <c r="B105" s="103" t="s">
        <v>170</v>
      </c>
      <c r="C105" s="107"/>
      <c r="D105" s="105">
        <v>137281</v>
      </c>
      <c r="E105" s="112">
        <v>7</v>
      </c>
      <c r="F105" s="78">
        <f t="shared" si="8"/>
        <v>129077</v>
      </c>
      <c r="G105" s="79">
        <f t="shared" si="9"/>
        <v>130215</v>
      </c>
      <c r="H105" s="80">
        <v>78729</v>
      </c>
      <c r="I105" s="106">
        <v>73667</v>
      </c>
      <c r="J105" s="80">
        <v>14969</v>
      </c>
      <c r="K105" s="106">
        <v>16328</v>
      </c>
      <c r="L105" s="80">
        <v>35379</v>
      </c>
      <c r="M105" s="80">
        <v>0</v>
      </c>
      <c r="N105" s="80">
        <v>0</v>
      </c>
      <c r="O105" s="106">
        <v>40220</v>
      </c>
      <c r="P105" s="106">
        <v>0</v>
      </c>
      <c r="Q105" s="106">
        <v>0</v>
      </c>
      <c r="R105" s="80">
        <v>0</v>
      </c>
      <c r="S105" s="106">
        <v>0</v>
      </c>
      <c r="T105" s="78">
        <f t="shared" si="10"/>
        <v>0</v>
      </c>
      <c r="U105" s="79">
        <f t="shared" si="11"/>
        <v>0</v>
      </c>
      <c r="V105" s="80"/>
      <c r="W105" s="81"/>
      <c r="X105" s="80"/>
      <c r="Y105" s="81"/>
      <c r="Z105" s="80"/>
      <c r="AA105" s="80"/>
      <c r="AB105" s="80"/>
      <c r="AC105" s="81"/>
      <c r="AD105" s="81"/>
      <c r="AE105" s="81"/>
      <c r="AF105" s="80"/>
      <c r="AG105" s="81"/>
    </row>
    <row r="106" spans="1:33">
      <c r="A106" s="102" t="s">
        <v>148</v>
      </c>
      <c r="B106" s="103" t="s">
        <v>171</v>
      </c>
      <c r="C106" s="104"/>
      <c r="D106" s="105">
        <v>137078</v>
      </c>
      <c r="E106" s="112">
        <v>7</v>
      </c>
      <c r="F106" s="78">
        <f t="shared" si="8"/>
        <v>582703</v>
      </c>
      <c r="G106" s="79">
        <f t="shared" si="9"/>
        <v>559640</v>
      </c>
      <c r="H106" s="80">
        <v>337510</v>
      </c>
      <c r="I106" s="106">
        <v>308366</v>
      </c>
      <c r="J106" s="80">
        <v>0</v>
      </c>
      <c r="K106" s="106">
        <v>0</v>
      </c>
      <c r="L106" s="80">
        <v>245193</v>
      </c>
      <c r="M106" s="80">
        <v>0</v>
      </c>
      <c r="N106" s="80">
        <v>0</v>
      </c>
      <c r="O106" s="106">
        <v>251274</v>
      </c>
      <c r="P106" s="106">
        <v>0</v>
      </c>
      <c r="Q106" s="106">
        <v>0</v>
      </c>
      <c r="R106" s="80">
        <v>0</v>
      </c>
      <c r="S106" s="106">
        <v>0</v>
      </c>
      <c r="T106" s="78">
        <f t="shared" si="10"/>
        <v>0</v>
      </c>
      <c r="U106" s="79">
        <f t="shared" si="11"/>
        <v>0</v>
      </c>
      <c r="V106" s="80"/>
      <c r="W106" s="81"/>
      <c r="X106" s="80"/>
      <c r="Y106" s="81"/>
      <c r="Z106" s="80"/>
      <c r="AA106" s="80"/>
      <c r="AB106" s="80"/>
      <c r="AC106" s="81"/>
      <c r="AD106" s="81"/>
      <c r="AE106" s="81"/>
      <c r="AF106" s="80"/>
      <c r="AG106" s="81"/>
    </row>
    <row r="107" spans="1:33">
      <c r="A107" s="102" t="s">
        <v>148</v>
      </c>
      <c r="B107" s="103" t="s">
        <v>172</v>
      </c>
      <c r="C107" s="107"/>
      <c r="D107" s="105">
        <v>137096</v>
      </c>
      <c r="E107" s="112">
        <v>7</v>
      </c>
      <c r="F107" s="78">
        <f t="shared" si="8"/>
        <v>315827</v>
      </c>
      <c r="G107" s="79">
        <f t="shared" si="9"/>
        <v>313939</v>
      </c>
      <c r="H107" s="80">
        <v>237581</v>
      </c>
      <c r="I107" s="106">
        <v>233467</v>
      </c>
      <c r="J107" s="80">
        <v>3809</v>
      </c>
      <c r="K107" s="106">
        <v>4106</v>
      </c>
      <c r="L107" s="80">
        <v>74437</v>
      </c>
      <c r="M107" s="80">
        <v>0</v>
      </c>
      <c r="N107" s="80">
        <v>0</v>
      </c>
      <c r="O107" s="106">
        <v>76366</v>
      </c>
      <c r="P107" s="106">
        <v>0</v>
      </c>
      <c r="Q107" s="106">
        <v>0</v>
      </c>
      <c r="R107" s="80">
        <v>0</v>
      </c>
      <c r="S107" s="106">
        <v>0</v>
      </c>
      <c r="T107" s="78">
        <f t="shared" si="10"/>
        <v>0</v>
      </c>
      <c r="U107" s="79">
        <f t="shared" si="11"/>
        <v>0</v>
      </c>
      <c r="V107" s="80"/>
      <c r="W107" s="81"/>
      <c r="X107" s="80"/>
      <c r="Y107" s="81"/>
      <c r="Z107" s="80"/>
      <c r="AA107" s="80"/>
      <c r="AB107" s="80"/>
      <c r="AC107" s="81"/>
      <c r="AD107" s="81"/>
      <c r="AE107" s="81"/>
      <c r="AF107" s="80"/>
      <c r="AG107" s="81"/>
    </row>
    <row r="108" spans="1:33">
      <c r="A108" s="102" t="s">
        <v>148</v>
      </c>
      <c r="B108" s="103" t="s">
        <v>173</v>
      </c>
      <c r="C108" s="107"/>
      <c r="D108" s="105">
        <v>137209</v>
      </c>
      <c r="E108" s="112">
        <v>7</v>
      </c>
      <c r="F108" s="78">
        <f t="shared" si="8"/>
        <v>335487</v>
      </c>
      <c r="G108" s="79">
        <f t="shared" si="9"/>
        <v>335561</v>
      </c>
      <c r="H108" s="80">
        <v>228327</v>
      </c>
      <c r="I108" s="106">
        <v>218881</v>
      </c>
      <c r="J108" s="80">
        <v>0</v>
      </c>
      <c r="K108" s="106">
        <v>0</v>
      </c>
      <c r="L108" s="80">
        <v>107160</v>
      </c>
      <c r="M108" s="80">
        <v>0</v>
      </c>
      <c r="N108" s="80">
        <v>0</v>
      </c>
      <c r="O108" s="106">
        <v>116680</v>
      </c>
      <c r="P108" s="106">
        <v>0</v>
      </c>
      <c r="Q108" s="106">
        <v>0</v>
      </c>
      <c r="R108" s="80">
        <v>0</v>
      </c>
      <c r="S108" s="106">
        <v>0</v>
      </c>
      <c r="T108" s="78">
        <f t="shared" si="10"/>
        <v>0</v>
      </c>
      <c r="U108" s="79">
        <f t="shared" si="11"/>
        <v>0</v>
      </c>
      <c r="V108" s="80"/>
      <c r="W108" s="81"/>
      <c r="X108" s="80"/>
      <c r="Y108" s="81"/>
      <c r="Z108" s="80"/>
      <c r="AA108" s="80"/>
      <c r="AB108" s="80"/>
      <c r="AC108" s="81"/>
      <c r="AD108" s="81"/>
      <c r="AE108" s="81"/>
      <c r="AF108" s="80"/>
      <c r="AG108" s="81"/>
    </row>
    <row r="109" spans="1:33">
      <c r="A109" s="102" t="s">
        <v>148</v>
      </c>
      <c r="B109" s="103" t="s">
        <v>174</v>
      </c>
      <c r="C109" s="108" t="s">
        <v>177</v>
      </c>
      <c r="D109" s="105">
        <v>137315</v>
      </c>
      <c r="E109" s="111">
        <v>7</v>
      </c>
      <c r="F109" s="78">
        <f t="shared" si="8"/>
        <v>45615</v>
      </c>
      <c r="G109" s="79">
        <f t="shared" si="9"/>
        <v>47642</v>
      </c>
      <c r="H109" s="80">
        <v>26365</v>
      </c>
      <c r="I109" s="106">
        <v>26094</v>
      </c>
      <c r="J109" s="80">
        <v>9683</v>
      </c>
      <c r="K109" s="106">
        <v>10629</v>
      </c>
      <c r="L109" s="80">
        <v>9157</v>
      </c>
      <c r="M109" s="80">
        <v>358</v>
      </c>
      <c r="N109" s="80">
        <v>52</v>
      </c>
      <c r="O109" s="106">
        <v>10832</v>
      </c>
      <c r="P109" s="106">
        <v>0</v>
      </c>
      <c r="Q109" s="106">
        <v>87</v>
      </c>
      <c r="R109" s="80">
        <v>0</v>
      </c>
      <c r="S109" s="106">
        <v>0</v>
      </c>
      <c r="T109" s="78">
        <f t="shared" si="10"/>
        <v>0</v>
      </c>
      <c r="U109" s="79">
        <f t="shared" si="11"/>
        <v>0</v>
      </c>
      <c r="V109" s="80"/>
      <c r="W109" s="81"/>
      <c r="X109" s="80"/>
      <c r="Y109" s="81"/>
      <c r="Z109" s="80"/>
      <c r="AA109" s="80"/>
      <c r="AB109" s="80"/>
      <c r="AC109" s="81"/>
      <c r="AD109" s="81"/>
      <c r="AE109" s="81"/>
      <c r="AF109" s="80"/>
      <c r="AG109" s="81"/>
    </row>
    <row r="110" spans="1:33">
      <c r="A110" s="102" t="s">
        <v>148</v>
      </c>
      <c r="B110" s="103" t="s">
        <v>175</v>
      </c>
      <c r="C110" s="104"/>
      <c r="D110" s="105">
        <v>137759</v>
      </c>
      <c r="E110" s="105">
        <v>8</v>
      </c>
      <c r="F110" s="78">
        <f t="shared" si="8"/>
        <v>266020</v>
      </c>
      <c r="G110" s="79">
        <f t="shared" si="9"/>
        <v>261138</v>
      </c>
      <c r="H110" s="80">
        <v>202267</v>
      </c>
      <c r="I110" s="106">
        <v>188597</v>
      </c>
      <c r="J110" s="80">
        <v>9953</v>
      </c>
      <c r="K110" s="106">
        <v>11117</v>
      </c>
      <c r="L110" s="80">
        <v>53800</v>
      </c>
      <c r="M110" s="80">
        <v>0</v>
      </c>
      <c r="N110" s="80">
        <v>0</v>
      </c>
      <c r="O110" s="106">
        <v>61424</v>
      </c>
      <c r="P110" s="106">
        <v>0</v>
      </c>
      <c r="Q110" s="106">
        <v>0</v>
      </c>
      <c r="R110" s="80">
        <v>0</v>
      </c>
      <c r="S110" s="106">
        <v>0</v>
      </c>
      <c r="T110" s="78">
        <f t="shared" si="10"/>
        <v>0</v>
      </c>
      <c r="U110" s="79">
        <f t="shared" si="11"/>
        <v>0</v>
      </c>
      <c r="V110" s="80"/>
      <c r="W110" s="81"/>
      <c r="X110" s="80"/>
      <c r="Y110" s="81"/>
      <c r="Z110" s="80"/>
      <c r="AA110" s="80"/>
      <c r="AB110" s="80"/>
      <c r="AC110" s="81"/>
      <c r="AD110" s="81"/>
      <c r="AE110" s="81"/>
      <c r="AF110" s="80"/>
      <c r="AG110" s="81"/>
    </row>
    <row r="111" spans="1:33">
      <c r="A111" s="102" t="s">
        <v>148</v>
      </c>
      <c r="B111" s="103" t="s">
        <v>176</v>
      </c>
      <c r="C111" s="108"/>
      <c r="D111" s="105">
        <v>138187</v>
      </c>
      <c r="E111" s="105">
        <v>7</v>
      </c>
      <c r="F111" s="78">
        <f t="shared" si="8"/>
        <v>900907</v>
      </c>
      <c r="G111" s="79">
        <f t="shared" si="9"/>
        <v>904144</v>
      </c>
      <c r="H111" s="80">
        <v>636598</v>
      </c>
      <c r="I111" s="106">
        <v>632191</v>
      </c>
      <c r="J111" s="80">
        <v>21358</v>
      </c>
      <c r="K111" s="106">
        <v>16576</v>
      </c>
      <c r="L111" s="80">
        <v>242951</v>
      </c>
      <c r="M111" s="80">
        <v>0</v>
      </c>
      <c r="N111" s="80">
        <v>0</v>
      </c>
      <c r="O111" s="106">
        <v>255377</v>
      </c>
      <c r="P111" s="106">
        <v>0</v>
      </c>
      <c r="Q111" s="106">
        <v>0</v>
      </c>
      <c r="R111" s="80">
        <v>0</v>
      </c>
      <c r="S111" s="106">
        <v>0</v>
      </c>
      <c r="T111" s="78">
        <f t="shared" si="10"/>
        <v>0</v>
      </c>
      <c r="U111" s="79">
        <f t="shared" si="11"/>
        <v>0</v>
      </c>
      <c r="V111" s="80"/>
      <c r="W111" s="81"/>
      <c r="X111" s="80"/>
      <c r="Y111" s="81"/>
      <c r="Z111" s="80"/>
      <c r="AA111" s="80"/>
      <c r="AB111" s="80"/>
      <c r="AC111" s="81"/>
      <c r="AD111" s="81"/>
      <c r="AE111" s="81"/>
      <c r="AF111" s="80"/>
      <c r="AG111" s="81"/>
    </row>
    <row r="112" spans="1:33" s="44" customFormat="1" ht="13.5" customHeight="1">
      <c r="A112" s="113" t="s">
        <v>179</v>
      </c>
      <c r="B112" s="114" t="s">
        <v>180</v>
      </c>
      <c r="C112" s="115"/>
      <c r="D112" s="116" t="s">
        <v>181</v>
      </c>
      <c r="E112" s="117">
        <v>1</v>
      </c>
      <c r="F112" s="78">
        <f t="shared" si="8"/>
        <v>1093614.5</v>
      </c>
      <c r="G112" s="79">
        <f t="shared" si="9"/>
        <v>1079128</v>
      </c>
      <c r="H112" s="80">
        <v>901399.5</v>
      </c>
      <c r="I112" s="118">
        <v>878485</v>
      </c>
      <c r="J112" s="80">
        <v>11156</v>
      </c>
      <c r="K112" s="118">
        <v>7973</v>
      </c>
      <c r="L112" s="80">
        <v>181059</v>
      </c>
      <c r="M112" s="80">
        <v>0</v>
      </c>
      <c r="N112" s="80">
        <v>0</v>
      </c>
      <c r="O112" s="118">
        <v>192670</v>
      </c>
      <c r="P112" s="118">
        <v>0</v>
      </c>
      <c r="Q112" s="118">
        <v>0</v>
      </c>
      <c r="R112" s="80">
        <v>0</v>
      </c>
      <c r="S112" s="118">
        <v>0</v>
      </c>
      <c r="T112" s="78">
        <f t="shared" si="10"/>
        <v>225897</v>
      </c>
      <c r="U112" s="119">
        <v>225897</v>
      </c>
      <c r="V112" s="80">
        <v>143032.5</v>
      </c>
      <c r="W112" s="81">
        <v>121768.5</v>
      </c>
      <c r="X112" s="80">
        <v>72570.5</v>
      </c>
      <c r="Y112" s="81">
        <v>93810.5</v>
      </c>
      <c r="Z112" s="80">
        <v>10294</v>
      </c>
      <c r="AA112" s="80">
        <v>0</v>
      </c>
      <c r="AB112" s="80">
        <v>0</v>
      </c>
      <c r="AC112" s="81">
        <v>12868.5</v>
      </c>
      <c r="AD112" s="81">
        <v>0</v>
      </c>
      <c r="AE112" s="81">
        <v>0</v>
      </c>
      <c r="AF112" s="80">
        <v>0</v>
      </c>
      <c r="AG112" s="81">
        <v>0</v>
      </c>
    </row>
    <row r="113" spans="1:33">
      <c r="A113" s="113" t="s">
        <v>179</v>
      </c>
      <c r="B113" s="120" t="s">
        <v>182</v>
      </c>
      <c r="C113" s="115"/>
      <c r="D113" s="116" t="s">
        <v>183</v>
      </c>
      <c r="E113" s="117">
        <v>1</v>
      </c>
      <c r="F113" s="78">
        <f t="shared" si="8"/>
        <v>802634.4</v>
      </c>
      <c r="G113" s="79">
        <f t="shared" si="9"/>
        <v>825066</v>
      </c>
      <c r="H113" s="80">
        <v>749903.4</v>
      </c>
      <c r="I113" s="118">
        <v>756415</v>
      </c>
      <c r="J113" s="80">
        <v>20526</v>
      </c>
      <c r="K113" s="118">
        <v>23696</v>
      </c>
      <c r="L113" s="80">
        <v>32205</v>
      </c>
      <c r="M113" s="80">
        <v>0</v>
      </c>
      <c r="N113" s="80">
        <v>0</v>
      </c>
      <c r="O113" s="118">
        <v>44955</v>
      </c>
      <c r="P113" s="118">
        <v>0</v>
      </c>
      <c r="Q113" s="118">
        <v>0</v>
      </c>
      <c r="R113" s="80">
        <v>0</v>
      </c>
      <c r="S113" s="118">
        <v>0</v>
      </c>
      <c r="T113" s="78">
        <f t="shared" si="10"/>
        <v>261769.8</v>
      </c>
      <c r="U113" s="119">
        <v>261769.8</v>
      </c>
      <c r="V113" s="80">
        <v>214839.6</v>
      </c>
      <c r="W113" s="81">
        <v>216533.15</v>
      </c>
      <c r="X113" s="80">
        <v>35639.699999999997</v>
      </c>
      <c r="Y113" s="81">
        <v>37159.800000000003</v>
      </c>
      <c r="Z113" s="80">
        <v>11290.5</v>
      </c>
      <c r="AA113" s="80">
        <v>0</v>
      </c>
      <c r="AB113" s="80">
        <v>0</v>
      </c>
      <c r="AC113" s="81">
        <v>12832.5</v>
      </c>
      <c r="AD113" s="81">
        <v>0</v>
      </c>
      <c r="AE113" s="81">
        <v>0</v>
      </c>
      <c r="AF113" s="80">
        <v>0</v>
      </c>
      <c r="AG113" s="81">
        <v>0</v>
      </c>
    </row>
    <row r="114" spans="1:33">
      <c r="A114" s="113" t="s">
        <v>179</v>
      </c>
      <c r="B114" s="120" t="s">
        <v>184</v>
      </c>
      <c r="C114" s="115"/>
      <c r="D114" s="116" t="s">
        <v>185</v>
      </c>
      <c r="E114" s="117">
        <v>2</v>
      </c>
      <c r="F114" s="78">
        <f t="shared" si="8"/>
        <v>437645</v>
      </c>
      <c r="G114" s="79">
        <f t="shared" si="9"/>
        <v>438044</v>
      </c>
      <c r="H114" s="80">
        <v>417829</v>
      </c>
      <c r="I114" s="118">
        <v>416332</v>
      </c>
      <c r="J114" s="80">
        <v>14243</v>
      </c>
      <c r="K114" s="118">
        <v>15181</v>
      </c>
      <c r="L114" s="80">
        <v>5573</v>
      </c>
      <c r="M114" s="80">
        <v>0</v>
      </c>
      <c r="N114" s="80">
        <v>0</v>
      </c>
      <c r="O114" s="118">
        <v>6531</v>
      </c>
      <c r="P114" s="118">
        <v>0</v>
      </c>
      <c r="Q114" s="118">
        <v>0</v>
      </c>
      <c r="R114" s="80">
        <v>0</v>
      </c>
      <c r="S114" s="118">
        <v>0</v>
      </c>
      <c r="T114" s="78">
        <f t="shared" si="10"/>
        <v>278585.5</v>
      </c>
      <c r="U114" s="119">
        <v>278585.5</v>
      </c>
      <c r="V114" s="80">
        <v>245059.5</v>
      </c>
      <c r="W114" s="81">
        <v>243712.5</v>
      </c>
      <c r="X114" s="80">
        <v>2686</v>
      </c>
      <c r="Y114" s="81">
        <v>4653</v>
      </c>
      <c r="Z114" s="80">
        <v>30840</v>
      </c>
      <c r="AA114" s="80">
        <v>0</v>
      </c>
      <c r="AB114" s="80">
        <v>0</v>
      </c>
      <c r="AC114" s="81">
        <v>56925</v>
      </c>
      <c r="AD114" s="81">
        <v>0</v>
      </c>
      <c r="AE114" s="81">
        <v>0</v>
      </c>
      <c r="AF114" s="80">
        <v>0</v>
      </c>
      <c r="AG114" s="81">
        <v>0</v>
      </c>
    </row>
    <row r="115" spans="1:33">
      <c r="A115" s="113" t="s">
        <v>179</v>
      </c>
      <c r="B115" s="120" t="s">
        <v>186</v>
      </c>
      <c r="C115" s="115"/>
      <c r="D115" s="116" t="s">
        <v>187</v>
      </c>
      <c r="E115" s="117">
        <v>3</v>
      </c>
      <c r="F115" s="78">
        <f t="shared" si="8"/>
        <v>520422</v>
      </c>
      <c r="G115" s="79">
        <f t="shared" si="9"/>
        <v>516394</v>
      </c>
      <c r="H115" s="80">
        <v>431732</v>
      </c>
      <c r="I115" s="118">
        <v>425817</v>
      </c>
      <c r="J115" s="80">
        <v>4571</v>
      </c>
      <c r="K115" s="118">
        <v>4024</v>
      </c>
      <c r="L115" s="80">
        <v>84094</v>
      </c>
      <c r="M115" s="80">
        <v>0</v>
      </c>
      <c r="N115" s="80">
        <v>25</v>
      </c>
      <c r="O115" s="118">
        <v>86493</v>
      </c>
      <c r="P115" s="118">
        <v>0</v>
      </c>
      <c r="Q115" s="118">
        <v>60</v>
      </c>
      <c r="R115" s="80">
        <v>0</v>
      </c>
      <c r="S115" s="118">
        <v>0</v>
      </c>
      <c r="T115" s="78">
        <f t="shared" si="10"/>
        <v>46180</v>
      </c>
      <c r="U115" s="119">
        <v>46180</v>
      </c>
      <c r="V115" s="80">
        <v>18251</v>
      </c>
      <c r="W115" s="81">
        <v>19526</v>
      </c>
      <c r="X115" s="80">
        <v>802</v>
      </c>
      <c r="Y115" s="81">
        <v>805</v>
      </c>
      <c r="Z115" s="80">
        <v>27124</v>
      </c>
      <c r="AA115" s="80">
        <v>0</v>
      </c>
      <c r="AB115" s="80">
        <v>3</v>
      </c>
      <c r="AC115" s="81">
        <v>27110</v>
      </c>
      <c r="AD115" s="81">
        <v>0</v>
      </c>
      <c r="AE115" s="81">
        <v>59</v>
      </c>
      <c r="AF115" s="80">
        <v>0</v>
      </c>
      <c r="AG115" s="81">
        <v>0</v>
      </c>
    </row>
    <row r="116" spans="1:33">
      <c r="A116" s="113" t="s">
        <v>179</v>
      </c>
      <c r="B116" s="120" t="s">
        <v>188</v>
      </c>
      <c r="C116" s="121"/>
      <c r="D116" s="116" t="s">
        <v>189</v>
      </c>
      <c r="E116" s="117">
        <v>3</v>
      </c>
      <c r="F116" s="78">
        <f t="shared" si="8"/>
        <v>825733</v>
      </c>
      <c r="G116" s="79">
        <f t="shared" si="9"/>
        <v>858952</v>
      </c>
      <c r="H116" s="80">
        <v>646648</v>
      </c>
      <c r="I116" s="118">
        <v>646729</v>
      </c>
      <c r="J116" s="80">
        <v>1399</v>
      </c>
      <c r="K116" s="118">
        <v>2475</v>
      </c>
      <c r="L116" s="80">
        <v>177686</v>
      </c>
      <c r="M116" s="80">
        <v>0</v>
      </c>
      <c r="N116" s="80">
        <v>0</v>
      </c>
      <c r="O116" s="118">
        <v>209748</v>
      </c>
      <c r="P116" s="118">
        <v>0</v>
      </c>
      <c r="Q116" s="118">
        <v>0</v>
      </c>
      <c r="R116" s="80">
        <v>0</v>
      </c>
      <c r="S116" s="118">
        <v>0</v>
      </c>
      <c r="T116" s="78">
        <f t="shared" si="10"/>
        <v>49519</v>
      </c>
      <c r="U116" s="119">
        <v>49519</v>
      </c>
      <c r="V116" s="80">
        <v>22712</v>
      </c>
      <c r="W116" s="81">
        <v>22281</v>
      </c>
      <c r="X116" s="80">
        <v>380</v>
      </c>
      <c r="Y116" s="81">
        <v>6</v>
      </c>
      <c r="Z116" s="80">
        <v>26427</v>
      </c>
      <c r="AA116" s="80">
        <v>0</v>
      </c>
      <c r="AB116" s="80">
        <v>0</v>
      </c>
      <c r="AC116" s="81">
        <v>28237</v>
      </c>
      <c r="AD116" s="81">
        <v>0</v>
      </c>
      <c r="AE116" s="81">
        <v>0</v>
      </c>
      <c r="AF116" s="80">
        <v>0</v>
      </c>
      <c r="AG116" s="81">
        <v>0</v>
      </c>
    </row>
    <row r="117" spans="1:33">
      <c r="A117" s="113" t="s">
        <v>179</v>
      </c>
      <c r="B117" s="120" t="s">
        <v>190</v>
      </c>
      <c r="C117" s="115"/>
      <c r="D117" s="116" t="s">
        <v>191</v>
      </c>
      <c r="E117" s="117">
        <v>3</v>
      </c>
      <c r="F117" s="78">
        <f t="shared" si="8"/>
        <v>300804</v>
      </c>
      <c r="G117" s="79">
        <f t="shared" si="9"/>
        <v>301158</v>
      </c>
      <c r="H117" s="80">
        <v>206474</v>
      </c>
      <c r="I117" s="118">
        <v>199333</v>
      </c>
      <c r="J117" s="80">
        <v>10439</v>
      </c>
      <c r="K117" s="118">
        <v>11114</v>
      </c>
      <c r="L117" s="80">
        <v>83891</v>
      </c>
      <c r="M117" s="80">
        <v>0</v>
      </c>
      <c r="N117" s="80">
        <v>0</v>
      </c>
      <c r="O117" s="118">
        <v>90711</v>
      </c>
      <c r="P117" s="118">
        <v>0</v>
      </c>
      <c r="Q117" s="118">
        <v>0</v>
      </c>
      <c r="R117" s="80">
        <v>0</v>
      </c>
      <c r="S117" s="118">
        <v>0</v>
      </c>
      <c r="T117" s="78">
        <f t="shared" si="10"/>
        <v>36455</v>
      </c>
      <c r="U117" s="119">
        <v>36455</v>
      </c>
      <c r="V117" s="80">
        <v>7459</v>
      </c>
      <c r="W117" s="81">
        <v>6242</v>
      </c>
      <c r="X117" s="80">
        <v>674</v>
      </c>
      <c r="Y117" s="81">
        <v>852</v>
      </c>
      <c r="Z117" s="80">
        <v>28322</v>
      </c>
      <c r="AA117" s="80">
        <v>0</v>
      </c>
      <c r="AB117" s="80">
        <v>0</v>
      </c>
      <c r="AC117" s="81">
        <v>31587</v>
      </c>
      <c r="AD117" s="81">
        <v>0</v>
      </c>
      <c r="AE117" s="81">
        <v>0</v>
      </c>
      <c r="AF117" s="80">
        <v>0</v>
      </c>
      <c r="AG117" s="81">
        <v>0</v>
      </c>
    </row>
    <row r="118" spans="1:33">
      <c r="A118" s="113" t="s">
        <v>179</v>
      </c>
      <c r="B118" s="120" t="s">
        <v>192</v>
      </c>
      <c r="C118" s="115"/>
      <c r="D118" s="116" t="s">
        <v>193</v>
      </c>
      <c r="E118" s="117">
        <v>3</v>
      </c>
      <c r="F118" s="78">
        <f t="shared" si="8"/>
        <v>239907</v>
      </c>
      <c r="G118" s="79">
        <f t="shared" si="9"/>
        <v>236535</v>
      </c>
      <c r="H118" s="80">
        <v>197812</v>
      </c>
      <c r="I118" s="118">
        <v>187610</v>
      </c>
      <c r="J118" s="80">
        <v>2503</v>
      </c>
      <c r="K118" s="118">
        <v>1373</v>
      </c>
      <c r="L118" s="80">
        <v>39364</v>
      </c>
      <c r="M118" s="80">
        <v>228</v>
      </c>
      <c r="N118" s="80">
        <v>0</v>
      </c>
      <c r="O118" s="118">
        <v>47324</v>
      </c>
      <c r="P118" s="118">
        <v>228</v>
      </c>
      <c r="Q118" s="118">
        <v>0</v>
      </c>
      <c r="R118" s="80">
        <v>0</v>
      </c>
      <c r="S118" s="118">
        <v>0</v>
      </c>
      <c r="T118" s="78">
        <f t="shared" si="10"/>
        <v>47071</v>
      </c>
      <c r="U118" s="119">
        <v>47071</v>
      </c>
      <c r="V118" s="80">
        <v>14054</v>
      </c>
      <c r="W118" s="81">
        <v>11996</v>
      </c>
      <c r="X118" s="80">
        <v>928</v>
      </c>
      <c r="Y118" s="81">
        <v>829</v>
      </c>
      <c r="Z118" s="80">
        <v>32071</v>
      </c>
      <c r="AA118" s="80">
        <v>18</v>
      </c>
      <c r="AB118" s="80">
        <v>0</v>
      </c>
      <c r="AC118" s="81">
        <v>34468</v>
      </c>
      <c r="AD118" s="81">
        <v>21</v>
      </c>
      <c r="AE118" s="81">
        <v>0</v>
      </c>
      <c r="AF118" s="80">
        <v>0</v>
      </c>
      <c r="AG118" s="81">
        <v>0</v>
      </c>
    </row>
    <row r="119" spans="1:33">
      <c r="A119" s="113" t="s">
        <v>179</v>
      </c>
      <c r="B119" s="120" t="s">
        <v>194</v>
      </c>
      <c r="C119" s="115"/>
      <c r="D119" s="116" t="s">
        <v>195</v>
      </c>
      <c r="E119" s="117">
        <v>4</v>
      </c>
      <c r="F119" s="78">
        <f t="shared" si="8"/>
        <v>74123</v>
      </c>
      <c r="G119" s="79">
        <f t="shared" si="9"/>
        <v>154129.5</v>
      </c>
      <c r="H119" s="80">
        <v>58209</v>
      </c>
      <c r="I119" s="122">
        <v>100600.5</v>
      </c>
      <c r="J119" s="80">
        <v>1336</v>
      </c>
      <c r="K119" s="118">
        <v>3528</v>
      </c>
      <c r="L119" s="80">
        <v>13950</v>
      </c>
      <c r="M119" s="80">
        <v>380</v>
      </c>
      <c r="N119" s="80">
        <v>248</v>
      </c>
      <c r="O119" s="118">
        <v>49742</v>
      </c>
      <c r="P119" s="118">
        <v>89</v>
      </c>
      <c r="Q119" s="118">
        <v>170</v>
      </c>
      <c r="R119" s="80">
        <v>0</v>
      </c>
      <c r="S119" s="118">
        <v>0</v>
      </c>
      <c r="T119" s="78">
        <f t="shared" si="10"/>
        <v>8469</v>
      </c>
      <c r="U119" s="119">
        <v>8469</v>
      </c>
      <c r="V119" s="80">
        <v>4591</v>
      </c>
      <c r="W119" s="81">
        <v>3770</v>
      </c>
      <c r="X119" s="80">
        <v>459</v>
      </c>
      <c r="Y119" s="81">
        <v>462</v>
      </c>
      <c r="Z119" s="80">
        <v>3395</v>
      </c>
      <c r="AA119" s="80">
        <v>0</v>
      </c>
      <c r="AB119" s="80">
        <v>24</v>
      </c>
      <c r="AC119" s="81">
        <v>2443</v>
      </c>
      <c r="AD119" s="81">
        <v>0</v>
      </c>
      <c r="AE119" s="81">
        <v>0</v>
      </c>
      <c r="AF119" s="80">
        <v>0</v>
      </c>
      <c r="AG119" s="81">
        <v>0</v>
      </c>
    </row>
    <row r="120" spans="1:33">
      <c r="A120" s="113" t="s">
        <v>179</v>
      </c>
      <c r="B120" s="114" t="s">
        <v>196</v>
      </c>
      <c r="C120" s="115"/>
      <c r="D120" s="116" t="s">
        <v>197</v>
      </c>
      <c r="E120" s="117">
        <v>4</v>
      </c>
      <c r="F120" s="78">
        <f t="shared" si="8"/>
        <v>166754</v>
      </c>
      <c r="G120" s="79">
        <f t="shared" si="9"/>
        <v>162144</v>
      </c>
      <c r="H120" s="80">
        <v>136833</v>
      </c>
      <c r="I120" s="118">
        <v>128807</v>
      </c>
      <c r="J120" s="80">
        <v>6905</v>
      </c>
      <c r="K120" s="118">
        <v>7517</v>
      </c>
      <c r="L120" s="80">
        <v>23016</v>
      </c>
      <c r="M120" s="80">
        <v>0</v>
      </c>
      <c r="N120" s="80">
        <v>0</v>
      </c>
      <c r="O120" s="118">
        <v>25820</v>
      </c>
      <c r="P120" s="118">
        <v>0</v>
      </c>
      <c r="Q120" s="118">
        <v>0</v>
      </c>
      <c r="R120" s="80">
        <v>0</v>
      </c>
      <c r="S120" s="118">
        <v>0</v>
      </c>
      <c r="T120" s="78">
        <f t="shared" si="10"/>
        <v>15698</v>
      </c>
      <c r="U120" s="119">
        <v>15698</v>
      </c>
      <c r="V120" s="80">
        <v>11839</v>
      </c>
      <c r="W120" s="81">
        <v>12010</v>
      </c>
      <c r="X120" s="80">
        <v>0</v>
      </c>
      <c r="Y120" s="81">
        <v>0</v>
      </c>
      <c r="Z120" s="80">
        <v>3859</v>
      </c>
      <c r="AA120" s="80">
        <v>0</v>
      </c>
      <c r="AB120" s="80">
        <v>0</v>
      </c>
      <c r="AC120" s="81">
        <v>3693</v>
      </c>
      <c r="AD120" s="81">
        <v>0</v>
      </c>
      <c r="AE120" s="81">
        <v>0</v>
      </c>
      <c r="AF120" s="80">
        <v>0</v>
      </c>
      <c r="AG120" s="81">
        <v>0</v>
      </c>
    </row>
    <row r="121" spans="1:33">
      <c r="A121" s="113" t="s">
        <v>179</v>
      </c>
      <c r="B121" s="120" t="s">
        <v>198</v>
      </c>
      <c r="C121" s="121"/>
      <c r="D121" s="116" t="s">
        <v>199</v>
      </c>
      <c r="E121" s="117">
        <v>4</v>
      </c>
      <c r="F121" s="78">
        <f t="shared" si="8"/>
        <v>154812</v>
      </c>
      <c r="G121" s="79">
        <f t="shared" si="9"/>
        <v>155672</v>
      </c>
      <c r="H121" s="80">
        <v>106615</v>
      </c>
      <c r="I121" s="118">
        <v>105092</v>
      </c>
      <c r="J121" s="80">
        <v>4616</v>
      </c>
      <c r="K121" s="118">
        <v>3064</v>
      </c>
      <c r="L121" s="80">
        <v>43581</v>
      </c>
      <c r="M121" s="80">
        <v>0</v>
      </c>
      <c r="N121" s="80">
        <v>0</v>
      </c>
      <c r="O121" s="118">
        <v>47516</v>
      </c>
      <c r="P121" s="118">
        <v>0</v>
      </c>
      <c r="Q121" s="118">
        <v>0</v>
      </c>
      <c r="R121" s="80">
        <v>0</v>
      </c>
      <c r="S121" s="118">
        <v>0</v>
      </c>
      <c r="T121" s="78">
        <f t="shared" si="10"/>
        <v>7988</v>
      </c>
      <c r="U121" s="119">
        <v>7988</v>
      </c>
      <c r="V121" s="80">
        <v>5910</v>
      </c>
      <c r="W121" s="81">
        <v>5313</v>
      </c>
      <c r="X121" s="80">
        <v>167</v>
      </c>
      <c r="Y121" s="81">
        <v>471</v>
      </c>
      <c r="Z121" s="80">
        <v>1911</v>
      </c>
      <c r="AA121" s="80">
        <v>0</v>
      </c>
      <c r="AB121" s="80">
        <v>0</v>
      </c>
      <c r="AC121" s="81">
        <v>2078</v>
      </c>
      <c r="AD121" s="81">
        <v>0</v>
      </c>
      <c r="AE121" s="81">
        <v>0</v>
      </c>
      <c r="AF121" s="80">
        <v>0</v>
      </c>
      <c r="AG121" s="81">
        <v>0</v>
      </c>
    </row>
    <row r="122" spans="1:33">
      <c r="A122" s="113" t="s">
        <v>179</v>
      </c>
      <c r="B122" s="120" t="s">
        <v>200</v>
      </c>
      <c r="C122" s="115"/>
      <c r="D122" s="116" t="s">
        <v>201</v>
      </c>
      <c r="E122" s="117">
        <v>4</v>
      </c>
      <c r="F122" s="78">
        <f t="shared" si="8"/>
        <v>175996</v>
      </c>
      <c r="G122" s="79">
        <f t="shared" si="9"/>
        <v>172675</v>
      </c>
      <c r="H122" s="80">
        <v>134992</v>
      </c>
      <c r="I122" s="118">
        <v>131445</v>
      </c>
      <c r="J122" s="80">
        <v>6783</v>
      </c>
      <c r="K122" s="118">
        <v>6378</v>
      </c>
      <c r="L122" s="80">
        <v>34209</v>
      </c>
      <c r="M122" s="80">
        <v>12</v>
      </c>
      <c r="N122" s="80">
        <v>0</v>
      </c>
      <c r="O122" s="118">
        <v>34693</v>
      </c>
      <c r="P122" s="118">
        <v>159</v>
      </c>
      <c r="Q122" s="118">
        <v>0</v>
      </c>
      <c r="R122" s="80">
        <v>0</v>
      </c>
      <c r="S122" s="118">
        <v>0</v>
      </c>
      <c r="T122" s="78">
        <f t="shared" si="10"/>
        <v>27587</v>
      </c>
      <c r="U122" s="119">
        <v>27587</v>
      </c>
      <c r="V122" s="80">
        <v>10401</v>
      </c>
      <c r="W122" s="81">
        <v>10113</v>
      </c>
      <c r="X122" s="80">
        <v>761</v>
      </c>
      <c r="Y122" s="81">
        <v>1639</v>
      </c>
      <c r="Z122" s="80">
        <v>16425</v>
      </c>
      <c r="AA122" s="80">
        <v>0</v>
      </c>
      <c r="AB122" s="80">
        <v>0</v>
      </c>
      <c r="AC122" s="81">
        <v>19169</v>
      </c>
      <c r="AD122" s="81">
        <v>0</v>
      </c>
      <c r="AE122" s="81">
        <v>0</v>
      </c>
      <c r="AF122" s="80">
        <v>0</v>
      </c>
      <c r="AG122" s="81">
        <v>0</v>
      </c>
    </row>
    <row r="123" spans="1:33">
      <c r="A123" s="113" t="s">
        <v>179</v>
      </c>
      <c r="B123" s="120" t="s">
        <v>202</v>
      </c>
      <c r="C123" s="121"/>
      <c r="D123" s="116" t="s">
        <v>203</v>
      </c>
      <c r="E123" s="117">
        <v>4</v>
      </c>
      <c r="F123" s="78">
        <f t="shared" si="8"/>
        <v>64203</v>
      </c>
      <c r="G123" s="79">
        <f t="shared" si="9"/>
        <v>65044</v>
      </c>
      <c r="H123" s="80">
        <v>51987</v>
      </c>
      <c r="I123" s="118">
        <v>54073</v>
      </c>
      <c r="J123" s="80">
        <v>294</v>
      </c>
      <c r="K123" s="118">
        <v>54</v>
      </c>
      <c r="L123" s="80">
        <v>10718</v>
      </c>
      <c r="M123" s="80">
        <v>0</v>
      </c>
      <c r="N123" s="80">
        <v>1204</v>
      </c>
      <c r="O123" s="118">
        <v>10038</v>
      </c>
      <c r="P123" s="118">
        <v>0</v>
      </c>
      <c r="Q123" s="118">
        <v>879</v>
      </c>
      <c r="R123" s="80">
        <v>0</v>
      </c>
      <c r="S123" s="118">
        <v>0</v>
      </c>
      <c r="T123" s="78">
        <f t="shared" si="10"/>
        <v>7074</v>
      </c>
      <c r="U123" s="119">
        <v>7074</v>
      </c>
      <c r="V123" s="80">
        <v>5732</v>
      </c>
      <c r="W123" s="81">
        <v>5456</v>
      </c>
      <c r="X123" s="80">
        <v>0</v>
      </c>
      <c r="Y123" s="81">
        <v>0</v>
      </c>
      <c r="Z123" s="80">
        <v>1339</v>
      </c>
      <c r="AA123" s="80">
        <v>0</v>
      </c>
      <c r="AB123" s="80">
        <v>3</v>
      </c>
      <c r="AC123" s="81">
        <v>1306</v>
      </c>
      <c r="AD123" s="81">
        <v>0</v>
      </c>
      <c r="AE123" s="81">
        <v>39</v>
      </c>
      <c r="AF123" s="80">
        <v>0</v>
      </c>
      <c r="AG123" s="81">
        <v>0</v>
      </c>
    </row>
    <row r="124" spans="1:33">
      <c r="A124" s="113" t="s">
        <v>179</v>
      </c>
      <c r="B124" s="120" t="s">
        <v>204</v>
      </c>
      <c r="C124" s="115"/>
      <c r="D124" s="116" t="s">
        <v>205</v>
      </c>
      <c r="E124" s="117">
        <v>4</v>
      </c>
      <c r="F124" s="78">
        <f t="shared" si="8"/>
        <v>181608</v>
      </c>
      <c r="G124" s="79">
        <f t="shared" si="9"/>
        <v>178258.5</v>
      </c>
      <c r="H124" s="80">
        <v>165381.5</v>
      </c>
      <c r="I124" s="118">
        <v>162182</v>
      </c>
      <c r="J124" s="80">
        <v>2373.5</v>
      </c>
      <c r="K124" s="122">
        <v>1870.5</v>
      </c>
      <c r="L124" s="80">
        <v>13853</v>
      </c>
      <c r="M124" s="80">
        <v>0</v>
      </c>
      <c r="N124" s="80">
        <v>0</v>
      </c>
      <c r="O124" s="118">
        <v>14206</v>
      </c>
      <c r="P124" s="118">
        <v>0</v>
      </c>
      <c r="Q124" s="118">
        <v>0</v>
      </c>
      <c r="R124" s="80">
        <v>0</v>
      </c>
      <c r="S124" s="118">
        <v>0</v>
      </c>
      <c r="T124" s="78">
        <f t="shared" si="10"/>
        <v>17484</v>
      </c>
      <c r="U124" s="119">
        <v>17484</v>
      </c>
      <c r="V124" s="80">
        <v>4520</v>
      </c>
      <c r="W124" s="81">
        <v>3996</v>
      </c>
      <c r="X124" s="80">
        <v>2631</v>
      </c>
      <c r="Y124" s="81">
        <v>1226</v>
      </c>
      <c r="Z124" s="80">
        <v>10333</v>
      </c>
      <c r="AA124" s="80">
        <v>0</v>
      </c>
      <c r="AB124" s="80">
        <v>0</v>
      </c>
      <c r="AC124" s="81">
        <v>14420</v>
      </c>
      <c r="AD124" s="81">
        <v>0</v>
      </c>
      <c r="AE124" s="81">
        <v>0</v>
      </c>
      <c r="AF124" s="80">
        <v>0</v>
      </c>
      <c r="AG124" s="81">
        <v>0</v>
      </c>
    </row>
    <row r="125" spans="1:33">
      <c r="A125" s="113" t="s">
        <v>179</v>
      </c>
      <c r="B125" s="120" t="s">
        <v>206</v>
      </c>
      <c r="C125" s="115"/>
      <c r="D125" s="116" t="s">
        <v>207</v>
      </c>
      <c r="E125" s="117">
        <v>4</v>
      </c>
      <c r="F125" s="78">
        <f t="shared" si="8"/>
        <v>138904</v>
      </c>
      <c r="G125" s="79">
        <f t="shared" si="9"/>
        <v>142097</v>
      </c>
      <c r="H125" s="80">
        <v>120934</v>
      </c>
      <c r="I125" s="118">
        <v>121141</v>
      </c>
      <c r="J125" s="80">
        <v>2167</v>
      </c>
      <c r="K125" s="118">
        <v>2889</v>
      </c>
      <c r="L125" s="80">
        <v>15803</v>
      </c>
      <c r="M125" s="80">
        <v>0</v>
      </c>
      <c r="N125" s="80">
        <v>0</v>
      </c>
      <c r="O125" s="118">
        <v>18067</v>
      </c>
      <c r="P125" s="118">
        <v>0</v>
      </c>
      <c r="Q125" s="118">
        <v>0</v>
      </c>
      <c r="R125" s="80">
        <v>0</v>
      </c>
      <c r="S125" s="118">
        <v>0</v>
      </c>
      <c r="T125" s="78">
        <f t="shared" si="10"/>
        <v>187831</v>
      </c>
      <c r="U125" s="119">
        <v>187831</v>
      </c>
      <c r="V125" s="80">
        <v>159735</v>
      </c>
      <c r="W125" s="81">
        <v>166283</v>
      </c>
      <c r="X125" s="80">
        <v>17986</v>
      </c>
      <c r="Y125" s="81">
        <v>15075</v>
      </c>
      <c r="Z125" s="80">
        <v>10110</v>
      </c>
      <c r="AA125" s="80">
        <v>0</v>
      </c>
      <c r="AB125" s="80">
        <v>0</v>
      </c>
      <c r="AC125" s="81">
        <v>9218</v>
      </c>
      <c r="AD125" s="81">
        <v>0</v>
      </c>
      <c r="AE125" s="81">
        <v>0</v>
      </c>
      <c r="AF125" s="80">
        <v>0</v>
      </c>
      <c r="AG125" s="81">
        <v>0</v>
      </c>
    </row>
    <row r="126" spans="1:33">
      <c r="A126" s="113" t="s">
        <v>179</v>
      </c>
      <c r="B126" s="120" t="s">
        <v>208</v>
      </c>
      <c r="C126" s="115"/>
      <c r="D126" s="123">
        <v>482680</v>
      </c>
      <c r="E126" s="117">
        <v>4</v>
      </c>
      <c r="F126" s="78">
        <f t="shared" si="8"/>
        <v>429578</v>
      </c>
      <c r="G126" s="79">
        <f t="shared" si="9"/>
        <v>443780</v>
      </c>
      <c r="H126" s="80">
        <v>387679</v>
      </c>
      <c r="I126" s="118">
        <v>390533</v>
      </c>
      <c r="J126" s="80">
        <v>3368</v>
      </c>
      <c r="K126" s="118">
        <v>3986</v>
      </c>
      <c r="L126" s="80">
        <v>38531</v>
      </c>
      <c r="M126" s="80">
        <v>0</v>
      </c>
      <c r="N126" s="80">
        <v>0</v>
      </c>
      <c r="O126" s="118">
        <v>49261</v>
      </c>
      <c r="P126" s="118">
        <v>0</v>
      </c>
      <c r="Q126" s="118">
        <v>0</v>
      </c>
      <c r="R126" s="80">
        <v>0</v>
      </c>
      <c r="S126" s="118">
        <v>0</v>
      </c>
      <c r="T126" s="78">
        <f t="shared" si="10"/>
        <v>10583</v>
      </c>
      <c r="U126" s="119">
        <v>10583</v>
      </c>
      <c r="V126" s="80">
        <v>7159</v>
      </c>
      <c r="W126" s="81">
        <v>7143</v>
      </c>
      <c r="X126" s="80">
        <v>1050</v>
      </c>
      <c r="Y126" s="81">
        <v>1095</v>
      </c>
      <c r="Z126" s="80">
        <v>2374</v>
      </c>
      <c r="AA126" s="80">
        <v>0</v>
      </c>
      <c r="AB126" s="80">
        <v>0</v>
      </c>
      <c r="AC126" s="81">
        <v>3853</v>
      </c>
      <c r="AD126" s="81">
        <v>0</v>
      </c>
      <c r="AE126" s="81">
        <v>0</v>
      </c>
      <c r="AF126" s="80">
        <v>0</v>
      </c>
      <c r="AG126" s="81">
        <v>0</v>
      </c>
    </row>
    <row r="127" spans="1:33">
      <c r="A127" s="113" t="s">
        <v>179</v>
      </c>
      <c r="B127" s="120" t="s">
        <v>209</v>
      </c>
      <c r="C127" s="121" t="s">
        <v>237</v>
      </c>
      <c r="D127" s="116" t="s">
        <v>210</v>
      </c>
      <c r="E127" s="124">
        <v>4</v>
      </c>
      <c r="F127" s="78">
        <f t="shared" si="8"/>
        <v>63932</v>
      </c>
      <c r="G127" s="79">
        <f t="shared" si="9"/>
        <v>65656</v>
      </c>
      <c r="H127" s="80">
        <v>43573</v>
      </c>
      <c r="I127" s="118">
        <v>43905</v>
      </c>
      <c r="J127" s="80">
        <v>1271</v>
      </c>
      <c r="K127" s="118">
        <v>1454</v>
      </c>
      <c r="L127" s="80">
        <v>19088</v>
      </c>
      <c r="M127" s="80">
        <v>0</v>
      </c>
      <c r="N127" s="80">
        <v>0</v>
      </c>
      <c r="O127" s="118">
        <v>20297</v>
      </c>
      <c r="P127" s="118">
        <v>0</v>
      </c>
      <c r="Q127" s="118">
        <v>0</v>
      </c>
      <c r="R127" s="80">
        <v>0</v>
      </c>
      <c r="S127" s="118">
        <v>0</v>
      </c>
      <c r="T127" s="78">
        <f t="shared" si="10"/>
        <v>8722</v>
      </c>
      <c r="U127" s="119">
        <v>8722</v>
      </c>
      <c r="V127" s="80">
        <v>4086</v>
      </c>
      <c r="W127" s="81">
        <v>4055</v>
      </c>
      <c r="X127" s="80">
        <v>0</v>
      </c>
      <c r="Y127" s="81">
        <v>0</v>
      </c>
      <c r="Z127" s="80">
        <v>4636</v>
      </c>
      <c r="AA127" s="80">
        <v>0</v>
      </c>
      <c r="AB127" s="80">
        <v>0</v>
      </c>
      <c r="AC127" s="81">
        <v>6155</v>
      </c>
      <c r="AD127" s="81">
        <v>0</v>
      </c>
      <c r="AE127" s="81">
        <v>0</v>
      </c>
      <c r="AF127" s="80">
        <v>0</v>
      </c>
      <c r="AG127" s="81">
        <v>0</v>
      </c>
    </row>
    <row r="128" spans="1:33">
      <c r="A128" s="113" t="s">
        <v>179</v>
      </c>
      <c r="B128" s="120" t="s">
        <v>211</v>
      </c>
      <c r="C128" s="115"/>
      <c r="D128" s="116" t="s">
        <v>212</v>
      </c>
      <c r="E128" s="117">
        <v>5</v>
      </c>
      <c r="F128" s="78">
        <f t="shared" si="8"/>
        <v>130266</v>
      </c>
      <c r="G128" s="79">
        <f t="shared" si="9"/>
        <v>123043</v>
      </c>
      <c r="H128" s="80">
        <v>119282</v>
      </c>
      <c r="I128" s="118">
        <v>111139</v>
      </c>
      <c r="J128" s="80">
        <v>385</v>
      </c>
      <c r="K128" s="118">
        <v>596</v>
      </c>
      <c r="L128" s="80">
        <v>10599</v>
      </c>
      <c r="M128" s="80">
        <v>0</v>
      </c>
      <c r="N128" s="80">
        <v>0</v>
      </c>
      <c r="O128" s="118">
        <v>11308</v>
      </c>
      <c r="P128" s="118">
        <v>0</v>
      </c>
      <c r="Q128" s="118">
        <v>0</v>
      </c>
      <c r="R128" s="80">
        <v>0</v>
      </c>
      <c r="S128" s="118">
        <v>0</v>
      </c>
      <c r="T128" s="78">
        <f t="shared" si="10"/>
        <v>3819</v>
      </c>
      <c r="U128" s="119">
        <v>3819</v>
      </c>
      <c r="V128" s="80">
        <v>2154</v>
      </c>
      <c r="W128" s="81">
        <v>1930</v>
      </c>
      <c r="X128" s="80">
        <v>1212</v>
      </c>
      <c r="Y128" s="81">
        <v>1200</v>
      </c>
      <c r="Z128" s="80">
        <v>453</v>
      </c>
      <c r="AA128" s="80">
        <v>0</v>
      </c>
      <c r="AB128" s="80">
        <v>0</v>
      </c>
      <c r="AC128" s="81">
        <v>900</v>
      </c>
      <c r="AD128" s="81">
        <v>0</v>
      </c>
      <c r="AE128" s="81">
        <v>0</v>
      </c>
      <c r="AF128" s="80">
        <v>0</v>
      </c>
      <c r="AG128" s="81">
        <v>0</v>
      </c>
    </row>
    <row r="129" spans="1:33">
      <c r="A129" s="113" t="s">
        <v>179</v>
      </c>
      <c r="B129" s="120" t="s">
        <v>213</v>
      </c>
      <c r="C129" s="121"/>
      <c r="D129" s="116" t="s">
        <v>214</v>
      </c>
      <c r="E129" s="117">
        <v>6</v>
      </c>
      <c r="F129" s="78">
        <f t="shared" si="8"/>
        <v>79408</v>
      </c>
      <c r="G129" s="79">
        <f t="shared" si="9"/>
        <v>84607</v>
      </c>
      <c r="H129" s="80">
        <v>64693</v>
      </c>
      <c r="I129" s="118">
        <v>65858</v>
      </c>
      <c r="J129" s="80">
        <v>726</v>
      </c>
      <c r="K129" s="118">
        <v>959</v>
      </c>
      <c r="L129" s="80">
        <v>13989</v>
      </c>
      <c r="M129" s="80">
        <v>0</v>
      </c>
      <c r="N129" s="80">
        <v>0</v>
      </c>
      <c r="O129" s="118">
        <v>17790</v>
      </c>
      <c r="P129" s="118">
        <v>0</v>
      </c>
      <c r="Q129" s="118">
        <v>0</v>
      </c>
      <c r="R129" s="80">
        <v>0</v>
      </c>
      <c r="S129" s="118">
        <v>0</v>
      </c>
      <c r="T129" s="78">
        <f t="shared" si="10"/>
        <v>0</v>
      </c>
      <c r="U129" s="119"/>
      <c r="V129" s="80"/>
      <c r="W129" s="81"/>
      <c r="X129" s="80"/>
      <c r="Y129" s="81"/>
      <c r="Z129" s="80"/>
      <c r="AA129" s="80"/>
      <c r="AB129" s="80"/>
      <c r="AC129" s="81"/>
      <c r="AD129" s="81"/>
      <c r="AE129" s="81"/>
      <c r="AF129" s="80"/>
      <c r="AG129" s="81"/>
    </row>
    <row r="130" spans="1:33">
      <c r="A130" s="113" t="s">
        <v>179</v>
      </c>
      <c r="B130" s="120" t="s">
        <v>215</v>
      </c>
      <c r="C130" s="121"/>
      <c r="D130" s="116" t="s">
        <v>216</v>
      </c>
      <c r="E130" s="117">
        <v>6</v>
      </c>
      <c r="F130" s="78">
        <f t="shared" si="8"/>
        <v>120396</v>
      </c>
      <c r="G130" s="79">
        <f t="shared" si="9"/>
        <v>120102</v>
      </c>
      <c r="H130" s="80">
        <v>107404</v>
      </c>
      <c r="I130" s="118">
        <v>103988</v>
      </c>
      <c r="J130" s="80">
        <v>4723</v>
      </c>
      <c r="K130" s="118">
        <v>4716</v>
      </c>
      <c r="L130" s="80">
        <v>8269</v>
      </c>
      <c r="M130" s="80">
        <v>0</v>
      </c>
      <c r="N130" s="80">
        <v>0</v>
      </c>
      <c r="O130" s="118">
        <v>11398</v>
      </c>
      <c r="P130" s="118">
        <v>0</v>
      </c>
      <c r="Q130" s="118">
        <v>0</v>
      </c>
      <c r="R130" s="80">
        <v>0</v>
      </c>
      <c r="S130" s="118">
        <v>0</v>
      </c>
      <c r="T130" s="78">
        <f t="shared" si="10"/>
        <v>0</v>
      </c>
      <c r="U130" s="119"/>
      <c r="V130" s="80"/>
      <c r="W130" s="81"/>
      <c r="X130" s="80"/>
      <c r="Y130" s="81"/>
      <c r="Z130" s="80"/>
      <c r="AA130" s="80"/>
      <c r="AB130" s="80"/>
      <c r="AC130" s="81"/>
      <c r="AD130" s="81"/>
      <c r="AE130" s="81"/>
      <c r="AF130" s="80"/>
      <c r="AG130" s="81"/>
    </row>
    <row r="131" spans="1:33">
      <c r="A131" s="113" t="s">
        <v>179</v>
      </c>
      <c r="B131" s="120" t="s">
        <v>217</v>
      </c>
      <c r="C131" s="121"/>
      <c r="D131" s="116" t="s">
        <v>218</v>
      </c>
      <c r="E131" s="117">
        <v>6</v>
      </c>
      <c r="F131" s="78">
        <f t="shared" si="8"/>
        <v>293483</v>
      </c>
      <c r="G131" s="79">
        <f t="shared" si="9"/>
        <v>297820</v>
      </c>
      <c r="H131" s="80">
        <v>290767</v>
      </c>
      <c r="I131" s="118">
        <v>292570</v>
      </c>
      <c r="J131" s="80">
        <v>32</v>
      </c>
      <c r="K131" s="118">
        <v>165</v>
      </c>
      <c r="L131" s="80">
        <v>2684</v>
      </c>
      <c r="M131" s="80">
        <v>0</v>
      </c>
      <c r="N131" s="80">
        <v>0</v>
      </c>
      <c r="O131" s="118">
        <v>5085</v>
      </c>
      <c r="P131" s="118">
        <v>0</v>
      </c>
      <c r="Q131" s="118">
        <v>0</v>
      </c>
      <c r="R131" s="80">
        <v>0</v>
      </c>
      <c r="S131" s="118">
        <v>0</v>
      </c>
      <c r="T131" s="78">
        <f t="shared" si="10"/>
        <v>0</v>
      </c>
      <c r="U131" s="119"/>
      <c r="V131" s="80"/>
      <c r="W131" s="81"/>
      <c r="X131" s="80"/>
      <c r="Y131" s="81"/>
      <c r="Z131" s="80"/>
      <c r="AA131" s="80"/>
      <c r="AB131" s="80"/>
      <c r="AC131" s="81"/>
      <c r="AD131" s="81"/>
      <c r="AE131" s="81"/>
      <c r="AF131" s="80"/>
      <c r="AG131" s="81"/>
    </row>
    <row r="132" spans="1:33">
      <c r="A132" s="113" t="s">
        <v>179</v>
      </c>
      <c r="B132" s="120" t="s">
        <v>219</v>
      </c>
      <c r="C132" s="115"/>
      <c r="D132" s="123">
        <v>482158</v>
      </c>
      <c r="E132" s="117">
        <v>6</v>
      </c>
      <c r="F132" s="78">
        <f t="shared" si="8"/>
        <v>183213</v>
      </c>
      <c r="G132" s="79">
        <f t="shared" si="9"/>
        <v>174380</v>
      </c>
      <c r="H132" s="80">
        <v>115961</v>
      </c>
      <c r="I132" s="118">
        <v>113621</v>
      </c>
      <c r="J132" s="80">
        <v>11452</v>
      </c>
      <c r="K132" s="118">
        <v>1410</v>
      </c>
      <c r="L132" s="80">
        <v>54206</v>
      </c>
      <c r="M132" s="80">
        <v>1594</v>
      </c>
      <c r="N132" s="80">
        <v>0</v>
      </c>
      <c r="O132" s="118">
        <v>56883</v>
      </c>
      <c r="P132" s="118">
        <v>2466</v>
      </c>
      <c r="Q132" s="118">
        <v>0</v>
      </c>
      <c r="R132" s="80">
        <v>0</v>
      </c>
      <c r="S132" s="118">
        <v>0</v>
      </c>
      <c r="T132" s="78">
        <f t="shared" si="10"/>
        <v>1203</v>
      </c>
      <c r="U132" s="119">
        <v>1203</v>
      </c>
      <c r="V132" s="80"/>
      <c r="W132" s="81">
        <v>108</v>
      </c>
      <c r="X132" s="80">
        <v>0</v>
      </c>
      <c r="Y132" s="81">
        <v>0</v>
      </c>
      <c r="Z132" s="80">
        <v>1203</v>
      </c>
      <c r="AA132" s="80">
        <v>0</v>
      </c>
      <c r="AB132" s="80">
        <v>0</v>
      </c>
      <c r="AC132" s="81">
        <v>1763</v>
      </c>
      <c r="AD132" s="81">
        <v>0</v>
      </c>
      <c r="AE132" s="81">
        <v>0</v>
      </c>
      <c r="AF132" s="80">
        <v>0</v>
      </c>
      <c r="AG132" s="81">
        <v>0</v>
      </c>
    </row>
    <row r="133" spans="1:33">
      <c r="A133" s="113" t="s">
        <v>179</v>
      </c>
      <c r="B133" s="120" t="s">
        <v>220</v>
      </c>
      <c r="C133" s="115" t="s">
        <v>238</v>
      </c>
      <c r="D133" s="116" t="s">
        <v>221</v>
      </c>
      <c r="E133" s="117">
        <v>7</v>
      </c>
      <c r="F133" s="78">
        <f t="shared" si="8"/>
        <v>85401</v>
      </c>
      <c r="G133" s="79">
        <f t="shared" si="9"/>
        <v>84988</v>
      </c>
      <c r="H133" s="80">
        <v>77313</v>
      </c>
      <c r="I133" s="118">
        <v>78877</v>
      </c>
      <c r="J133" s="80">
        <v>3847</v>
      </c>
      <c r="K133" s="118">
        <v>2857</v>
      </c>
      <c r="L133" s="80">
        <v>3908</v>
      </c>
      <c r="M133" s="80">
        <v>54</v>
      </c>
      <c r="N133" s="80">
        <v>279</v>
      </c>
      <c r="O133" s="118">
        <v>3254</v>
      </c>
      <c r="P133" s="118">
        <v>0</v>
      </c>
      <c r="Q133" s="118">
        <v>0</v>
      </c>
      <c r="R133" s="80">
        <v>0</v>
      </c>
      <c r="S133" s="118">
        <v>0</v>
      </c>
      <c r="T133" s="78">
        <f t="shared" si="10"/>
        <v>0</v>
      </c>
      <c r="U133" s="119"/>
      <c r="V133" s="80"/>
      <c r="W133" s="81"/>
      <c r="X133" s="80"/>
      <c r="Y133" s="81"/>
      <c r="Z133" s="80"/>
      <c r="AA133" s="80"/>
      <c r="AB133" s="80"/>
      <c r="AC133" s="81"/>
      <c r="AD133" s="81"/>
      <c r="AE133" s="81"/>
      <c r="AF133" s="80"/>
      <c r="AG133" s="81"/>
    </row>
    <row r="134" spans="1:33">
      <c r="A134" s="113" t="s">
        <v>179</v>
      </c>
      <c r="B134" s="120" t="s">
        <v>222</v>
      </c>
      <c r="C134" s="121"/>
      <c r="D134" s="116" t="s">
        <v>223</v>
      </c>
      <c r="E134" s="117">
        <v>7</v>
      </c>
      <c r="F134" s="78">
        <f t="shared" si="8"/>
        <v>62521</v>
      </c>
      <c r="G134" s="79">
        <f t="shared" si="9"/>
        <v>58398</v>
      </c>
      <c r="H134" s="80">
        <v>46453</v>
      </c>
      <c r="I134" s="118">
        <v>42881</v>
      </c>
      <c r="J134" s="80">
        <v>372</v>
      </c>
      <c r="K134" s="118">
        <v>306</v>
      </c>
      <c r="L134" s="80">
        <v>15696</v>
      </c>
      <c r="M134" s="80">
        <v>0</v>
      </c>
      <c r="N134" s="80">
        <v>0</v>
      </c>
      <c r="O134" s="118">
        <v>15211</v>
      </c>
      <c r="P134" s="118">
        <v>0</v>
      </c>
      <c r="Q134" s="118">
        <v>0</v>
      </c>
      <c r="R134" s="80">
        <v>0</v>
      </c>
      <c r="S134" s="118">
        <v>0</v>
      </c>
      <c r="T134" s="78">
        <f t="shared" si="10"/>
        <v>0</v>
      </c>
      <c r="U134" s="119"/>
      <c r="V134" s="80"/>
      <c r="W134" s="81"/>
      <c r="X134" s="80"/>
      <c r="Y134" s="81"/>
      <c r="Z134" s="80"/>
      <c r="AA134" s="80"/>
      <c r="AB134" s="80"/>
      <c r="AC134" s="81"/>
      <c r="AD134" s="81"/>
      <c r="AE134" s="81"/>
      <c r="AF134" s="80"/>
      <c r="AG134" s="81"/>
    </row>
    <row r="135" spans="1:33">
      <c r="A135" s="113" t="s">
        <v>179</v>
      </c>
      <c r="B135" s="120" t="s">
        <v>224</v>
      </c>
      <c r="C135" s="115" t="s">
        <v>239</v>
      </c>
      <c r="D135" s="116" t="s">
        <v>225</v>
      </c>
      <c r="E135" s="117">
        <v>7</v>
      </c>
      <c r="F135" s="78">
        <f t="shared" si="8"/>
        <v>107997</v>
      </c>
      <c r="G135" s="79">
        <f t="shared" si="9"/>
        <v>0</v>
      </c>
      <c r="H135" s="80">
        <v>55340</v>
      </c>
      <c r="I135" s="125"/>
      <c r="J135" s="80">
        <v>2534</v>
      </c>
      <c r="K135" s="125"/>
      <c r="L135" s="80">
        <v>50123</v>
      </c>
      <c r="M135" s="80">
        <v>0</v>
      </c>
      <c r="N135" s="80">
        <v>0</v>
      </c>
      <c r="O135" s="125"/>
      <c r="P135" s="125"/>
      <c r="Q135" s="125"/>
      <c r="R135" s="80">
        <v>0</v>
      </c>
      <c r="S135" s="125"/>
      <c r="T135" s="78">
        <f t="shared" si="10"/>
        <v>0</v>
      </c>
      <c r="U135" s="119"/>
      <c r="V135" s="80"/>
      <c r="W135" s="81"/>
      <c r="X135" s="80"/>
      <c r="Y135" s="81"/>
      <c r="Z135" s="80"/>
      <c r="AA135" s="80"/>
      <c r="AB135" s="80"/>
      <c r="AC135" s="81"/>
      <c r="AD135" s="81"/>
      <c r="AE135" s="81"/>
      <c r="AF135" s="80"/>
      <c r="AG135" s="81"/>
    </row>
    <row r="136" spans="1:33">
      <c r="A136" s="113" t="s">
        <v>179</v>
      </c>
      <c r="B136" s="120" t="s">
        <v>226</v>
      </c>
      <c r="C136" s="121"/>
      <c r="D136" s="116" t="s">
        <v>227</v>
      </c>
      <c r="E136" s="117">
        <v>7</v>
      </c>
      <c r="F136" s="78">
        <f t="shared" si="8"/>
        <v>72358</v>
      </c>
      <c r="G136" s="79">
        <f t="shared" si="9"/>
        <v>70657</v>
      </c>
      <c r="H136" s="80">
        <v>39560</v>
      </c>
      <c r="I136" s="118">
        <v>40891</v>
      </c>
      <c r="J136" s="80">
        <v>18315</v>
      </c>
      <c r="K136" s="118">
        <v>13031</v>
      </c>
      <c r="L136" s="80">
        <v>14319</v>
      </c>
      <c r="M136" s="80">
        <v>0</v>
      </c>
      <c r="N136" s="80">
        <v>164</v>
      </c>
      <c r="O136" s="118">
        <v>10481</v>
      </c>
      <c r="P136" s="118">
        <v>0</v>
      </c>
      <c r="Q136" s="118">
        <v>6254</v>
      </c>
      <c r="R136" s="80">
        <v>0</v>
      </c>
      <c r="S136" s="118">
        <v>0</v>
      </c>
      <c r="T136" s="78">
        <f t="shared" si="10"/>
        <v>0</v>
      </c>
      <c r="U136" s="119"/>
      <c r="V136" s="80"/>
      <c r="W136" s="81"/>
      <c r="X136" s="80"/>
      <c r="Y136" s="81"/>
      <c r="Z136" s="80"/>
      <c r="AA136" s="80"/>
      <c r="AB136" s="80"/>
      <c r="AC136" s="81"/>
      <c r="AD136" s="81"/>
      <c r="AE136" s="81"/>
      <c r="AF136" s="80"/>
      <c r="AG136" s="81"/>
    </row>
    <row r="137" spans="1:33">
      <c r="A137" s="113" t="s">
        <v>179</v>
      </c>
      <c r="B137" s="120" t="s">
        <v>228</v>
      </c>
      <c r="C137" s="121" t="s">
        <v>177</v>
      </c>
      <c r="D137" s="116" t="s">
        <v>229</v>
      </c>
      <c r="E137" s="128">
        <v>7</v>
      </c>
      <c r="F137" s="78">
        <f t="shared" si="8"/>
        <v>128440</v>
      </c>
      <c r="G137" s="79">
        <f t="shared" si="9"/>
        <v>130593</v>
      </c>
      <c r="H137" s="80">
        <v>76615</v>
      </c>
      <c r="I137" s="118">
        <v>77877</v>
      </c>
      <c r="J137" s="80">
        <v>23851</v>
      </c>
      <c r="K137" s="118">
        <v>20578</v>
      </c>
      <c r="L137" s="80">
        <v>27941</v>
      </c>
      <c r="M137" s="80">
        <v>33</v>
      </c>
      <c r="N137" s="80">
        <v>0</v>
      </c>
      <c r="O137" s="118">
        <v>32138</v>
      </c>
      <c r="P137" s="118">
        <v>0</v>
      </c>
      <c r="Q137" s="118">
        <v>0</v>
      </c>
      <c r="R137" s="80">
        <v>0</v>
      </c>
      <c r="S137" s="118">
        <v>0</v>
      </c>
      <c r="T137" s="78">
        <f t="shared" si="10"/>
        <v>0</v>
      </c>
      <c r="U137" s="119"/>
      <c r="V137" s="80"/>
      <c r="W137" s="81"/>
      <c r="X137" s="80"/>
      <c r="Y137" s="81"/>
      <c r="Z137" s="80"/>
      <c r="AA137" s="80"/>
      <c r="AB137" s="80"/>
      <c r="AC137" s="81"/>
      <c r="AD137" s="81"/>
      <c r="AE137" s="81"/>
      <c r="AF137" s="80"/>
      <c r="AG137" s="81"/>
    </row>
    <row r="138" spans="1:33">
      <c r="A138" s="113" t="s">
        <v>179</v>
      </c>
      <c r="B138" s="120" t="s">
        <v>230</v>
      </c>
      <c r="C138" s="115" t="s">
        <v>238</v>
      </c>
      <c r="D138" s="116" t="s">
        <v>231</v>
      </c>
      <c r="E138" s="117">
        <v>7</v>
      </c>
      <c r="F138" s="78">
        <f t="shared" si="8"/>
        <v>91418</v>
      </c>
      <c r="G138" s="79">
        <f t="shared" si="9"/>
        <v>91272</v>
      </c>
      <c r="H138" s="80">
        <v>72579</v>
      </c>
      <c r="I138" s="118">
        <v>68474</v>
      </c>
      <c r="J138" s="80">
        <v>4108</v>
      </c>
      <c r="K138" s="118">
        <v>5759</v>
      </c>
      <c r="L138" s="80">
        <v>14674</v>
      </c>
      <c r="M138" s="80">
        <v>57</v>
      </c>
      <c r="N138" s="80">
        <v>0</v>
      </c>
      <c r="O138" s="118">
        <v>17039</v>
      </c>
      <c r="P138" s="118">
        <v>0</v>
      </c>
      <c r="Q138" s="118">
        <v>0</v>
      </c>
      <c r="R138" s="80">
        <v>0</v>
      </c>
      <c r="S138" s="118">
        <v>0</v>
      </c>
      <c r="T138" s="78">
        <f t="shared" si="10"/>
        <v>0</v>
      </c>
      <c r="U138" s="119"/>
      <c r="V138" s="80"/>
      <c r="W138" s="81"/>
      <c r="X138" s="80"/>
      <c r="Y138" s="81"/>
      <c r="Z138" s="80"/>
      <c r="AA138" s="80"/>
      <c r="AB138" s="80"/>
      <c r="AC138" s="81"/>
      <c r="AD138" s="81"/>
      <c r="AE138" s="81"/>
      <c r="AF138" s="80"/>
      <c r="AG138" s="81"/>
    </row>
    <row r="139" spans="1:33">
      <c r="A139" s="113" t="s">
        <v>179</v>
      </c>
      <c r="B139" s="120" t="s">
        <v>232</v>
      </c>
      <c r="C139" s="115"/>
      <c r="D139" s="123">
        <v>482699</v>
      </c>
      <c r="E139" s="117">
        <v>7</v>
      </c>
      <c r="F139" s="78">
        <f t="shared" si="8"/>
        <v>62670</v>
      </c>
      <c r="G139" s="79">
        <f t="shared" si="9"/>
        <v>62094</v>
      </c>
      <c r="H139" s="80">
        <v>27275</v>
      </c>
      <c r="I139" s="127">
        <v>24171</v>
      </c>
      <c r="J139" s="80">
        <v>28532</v>
      </c>
      <c r="K139" s="127">
        <v>26275</v>
      </c>
      <c r="L139" s="80">
        <v>6863</v>
      </c>
      <c r="M139" s="80">
        <v>0</v>
      </c>
      <c r="N139" s="80">
        <v>0</v>
      </c>
      <c r="O139" s="127">
        <v>11648</v>
      </c>
      <c r="P139" s="127"/>
      <c r="Q139" s="127"/>
      <c r="R139" s="80">
        <v>0</v>
      </c>
      <c r="S139" s="127"/>
      <c r="T139" s="78">
        <f t="shared" si="10"/>
        <v>0</v>
      </c>
      <c r="U139" s="119"/>
      <c r="V139" s="80"/>
      <c r="W139" s="81"/>
      <c r="X139" s="80"/>
      <c r="Y139" s="81"/>
      <c r="Z139" s="80"/>
      <c r="AA139" s="80"/>
      <c r="AB139" s="80"/>
      <c r="AC139" s="81"/>
      <c r="AD139" s="81"/>
      <c r="AE139" s="81"/>
      <c r="AF139" s="80"/>
      <c r="AG139" s="81"/>
    </row>
    <row r="140" spans="1:33">
      <c r="A140" s="113" t="s">
        <v>179</v>
      </c>
      <c r="B140" s="114" t="s">
        <v>233</v>
      </c>
      <c r="C140" s="115" t="s">
        <v>239</v>
      </c>
      <c r="D140" s="116" t="s">
        <v>234</v>
      </c>
      <c r="E140" s="117">
        <v>8</v>
      </c>
      <c r="F140" s="78">
        <f t="shared" si="8"/>
        <v>0</v>
      </c>
      <c r="G140" s="79">
        <f t="shared" si="9"/>
        <v>0</v>
      </c>
      <c r="H140" s="80"/>
      <c r="I140" s="118"/>
      <c r="J140" s="80"/>
      <c r="K140" s="118"/>
      <c r="L140" s="80"/>
      <c r="M140" s="80"/>
      <c r="N140" s="80"/>
      <c r="O140" s="118"/>
      <c r="P140" s="118">
        <v>0</v>
      </c>
      <c r="Q140" s="118">
        <v>0</v>
      </c>
      <c r="R140" s="80"/>
      <c r="S140" s="118">
        <v>0</v>
      </c>
      <c r="T140" s="78">
        <f t="shared" si="10"/>
        <v>0</v>
      </c>
      <c r="U140" s="119"/>
      <c r="V140" s="80"/>
      <c r="W140" s="81"/>
      <c r="X140" s="80"/>
      <c r="Y140" s="81"/>
      <c r="Z140" s="80"/>
      <c r="AA140" s="80"/>
      <c r="AB140" s="80"/>
      <c r="AC140" s="81"/>
      <c r="AD140" s="81"/>
      <c r="AE140" s="81"/>
      <c r="AF140" s="80"/>
      <c r="AG140" s="81"/>
    </row>
    <row r="141" spans="1:33">
      <c r="A141" s="113" t="s">
        <v>179</v>
      </c>
      <c r="B141" s="120" t="s">
        <v>235</v>
      </c>
      <c r="C141" s="115" t="s">
        <v>240</v>
      </c>
      <c r="D141" s="116" t="s">
        <v>236</v>
      </c>
      <c r="E141" s="117">
        <v>10</v>
      </c>
      <c r="F141" s="78">
        <f t="shared" si="8"/>
        <v>51395</v>
      </c>
      <c r="G141" s="79">
        <f t="shared" si="9"/>
        <v>41554</v>
      </c>
      <c r="H141" s="80">
        <v>27065</v>
      </c>
      <c r="I141" s="118">
        <v>19634</v>
      </c>
      <c r="J141" s="80">
        <v>8565</v>
      </c>
      <c r="K141" s="118">
        <v>6993</v>
      </c>
      <c r="L141" s="80">
        <v>15765</v>
      </c>
      <c r="M141" s="80">
        <v>0</v>
      </c>
      <c r="N141" s="80">
        <v>0</v>
      </c>
      <c r="O141" s="118">
        <v>14927</v>
      </c>
      <c r="P141" s="118">
        <v>0</v>
      </c>
      <c r="Q141" s="118">
        <v>0</v>
      </c>
      <c r="R141" s="80">
        <v>0</v>
      </c>
      <c r="S141" s="118">
        <v>0</v>
      </c>
      <c r="T141" s="78">
        <f t="shared" si="10"/>
        <v>0</v>
      </c>
      <c r="U141" s="119"/>
      <c r="V141" s="80"/>
      <c r="W141" s="81"/>
      <c r="X141" s="80"/>
      <c r="Y141" s="81"/>
      <c r="Z141" s="80"/>
      <c r="AA141" s="80"/>
      <c r="AB141" s="80"/>
      <c r="AC141" s="81"/>
      <c r="AD141" s="81"/>
      <c r="AE141" s="81"/>
      <c r="AF141" s="80"/>
      <c r="AG141" s="81"/>
    </row>
    <row r="142" spans="1:33" s="44" customFormat="1" ht="13.5" customHeight="1">
      <c r="A142" s="129" t="s">
        <v>179</v>
      </c>
      <c r="B142" s="130" t="s">
        <v>241</v>
      </c>
      <c r="C142" s="82"/>
      <c r="D142" s="86">
        <v>138682</v>
      </c>
      <c r="E142" s="86">
        <v>12</v>
      </c>
      <c r="F142" s="78">
        <f t="shared" si="8"/>
        <v>85229</v>
      </c>
      <c r="G142" s="79">
        <f t="shared" si="9"/>
        <v>78571</v>
      </c>
      <c r="H142" s="80">
        <v>46914</v>
      </c>
      <c r="I142" s="81">
        <v>40773</v>
      </c>
      <c r="J142" s="80"/>
      <c r="K142" s="81"/>
      <c r="L142" s="80">
        <v>38315</v>
      </c>
      <c r="M142" s="80">
        <v>0</v>
      </c>
      <c r="N142" s="80">
        <v>0</v>
      </c>
      <c r="O142" s="81">
        <v>37798</v>
      </c>
      <c r="P142" s="81">
        <v>0</v>
      </c>
      <c r="Q142" s="81"/>
      <c r="R142" s="80"/>
      <c r="S142" s="81"/>
      <c r="T142" s="78">
        <f t="shared" si="10"/>
        <v>0</v>
      </c>
      <c r="U142" s="79">
        <f t="shared" ref="U142:U205" si="12">SUM(W142,Y142,AC142,AD142,AE142,AG142)</f>
        <v>0</v>
      </c>
      <c r="V142" s="80"/>
      <c r="W142" s="81"/>
      <c r="X142" s="80"/>
      <c r="Y142" s="81"/>
      <c r="Z142" s="80"/>
      <c r="AA142" s="80"/>
      <c r="AB142" s="80"/>
      <c r="AC142" s="81"/>
      <c r="AD142" s="81"/>
      <c r="AE142" s="81"/>
      <c r="AF142" s="80"/>
      <c r="AG142" s="81"/>
    </row>
    <row r="143" spans="1:33">
      <c r="A143" s="129" t="s">
        <v>179</v>
      </c>
      <c r="B143" s="130" t="s">
        <v>242</v>
      </c>
      <c r="C143" s="82"/>
      <c r="D143" s="86">
        <v>246813</v>
      </c>
      <c r="E143" s="86">
        <v>12</v>
      </c>
      <c r="F143" s="78">
        <f t="shared" si="8"/>
        <v>78469</v>
      </c>
      <c r="G143" s="79">
        <f t="shared" si="9"/>
        <v>82773</v>
      </c>
      <c r="H143" s="80">
        <v>63470</v>
      </c>
      <c r="I143" s="81">
        <v>66000</v>
      </c>
      <c r="J143" s="80"/>
      <c r="K143" s="81"/>
      <c r="L143" s="80">
        <v>14651</v>
      </c>
      <c r="M143" s="80">
        <v>348</v>
      </c>
      <c r="N143" s="80">
        <v>0</v>
      </c>
      <c r="O143" s="81">
        <v>16741</v>
      </c>
      <c r="P143" s="81">
        <v>32</v>
      </c>
      <c r="Q143" s="81"/>
      <c r="R143" s="80"/>
      <c r="S143" s="81"/>
      <c r="T143" s="78">
        <f t="shared" si="10"/>
        <v>0</v>
      </c>
      <c r="U143" s="79">
        <f t="shared" si="12"/>
        <v>0</v>
      </c>
      <c r="V143" s="80"/>
      <c r="W143" s="81"/>
      <c r="X143" s="80"/>
      <c r="Y143" s="81"/>
      <c r="Z143" s="80"/>
      <c r="AA143" s="80"/>
      <c r="AB143" s="80"/>
      <c r="AC143" s="81"/>
      <c r="AD143" s="81"/>
      <c r="AE143" s="81"/>
      <c r="AF143" s="80"/>
      <c r="AG143" s="81"/>
    </row>
    <row r="144" spans="1:33">
      <c r="A144" s="129" t="s">
        <v>179</v>
      </c>
      <c r="B144" s="130" t="s">
        <v>243</v>
      </c>
      <c r="C144" s="82"/>
      <c r="D144" s="86">
        <v>138840</v>
      </c>
      <c r="E144" s="86">
        <v>12</v>
      </c>
      <c r="F144" s="78">
        <f t="shared" si="8"/>
        <v>96519</v>
      </c>
      <c r="G144" s="79">
        <f t="shared" si="9"/>
        <v>96224</v>
      </c>
      <c r="H144" s="80">
        <v>63442</v>
      </c>
      <c r="I144" s="81">
        <v>56558</v>
      </c>
      <c r="J144" s="80"/>
      <c r="K144" s="81"/>
      <c r="L144" s="80">
        <v>33077</v>
      </c>
      <c r="M144" s="80">
        <v>0</v>
      </c>
      <c r="N144" s="80">
        <v>0</v>
      </c>
      <c r="O144" s="81">
        <v>39666</v>
      </c>
      <c r="P144" s="81">
        <v>0</v>
      </c>
      <c r="Q144" s="81"/>
      <c r="R144" s="80"/>
      <c r="S144" s="81"/>
      <c r="T144" s="78">
        <f t="shared" si="10"/>
        <v>0</v>
      </c>
      <c r="U144" s="79">
        <f t="shared" si="12"/>
        <v>0</v>
      </c>
      <c r="V144" s="80"/>
      <c r="W144" s="81"/>
      <c r="X144" s="80"/>
      <c r="Y144" s="81"/>
      <c r="Z144" s="80"/>
      <c r="AA144" s="80"/>
      <c r="AB144" s="80"/>
      <c r="AC144" s="81"/>
      <c r="AD144" s="81"/>
      <c r="AE144" s="81"/>
      <c r="AF144" s="80"/>
      <c r="AG144" s="81"/>
    </row>
    <row r="145" spans="1:33">
      <c r="A145" s="129" t="s">
        <v>179</v>
      </c>
      <c r="B145" s="130" t="s">
        <v>244</v>
      </c>
      <c r="C145" s="82"/>
      <c r="D145" s="86">
        <v>138956</v>
      </c>
      <c r="E145" s="86">
        <v>12</v>
      </c>
      <c r="F145" s="78">
        <f t="shared" si="8"/>
        <v>97912</v>
      </c>
      <c r="G145" s="79">
        <f t="shared" si="9"/>
        <v>97659</v>
      </c>
      <c r="H145" s="80">
        <v>88138</v>
      </c>
      <c r="I145" s="81">
        <v>87518</v>
      </c>
      <c r="J145" s="80"/>
      <c r="K145" s="81"/>
      <c r="L145" s="80">
        <v>9774</v>
      </c>
      <c r="M145" s="80">
        <v>0</v>
      </c>
      <c r="N145" s="80">
        <v>0</v>
      </c>
      <c r="O145" s="81">
        <v>10141</v>
      </c>
      <c r="P145" s="81">
        <v>0</v>
      </c>
      <c r="Q145" s="81"/>
      <c r="R145" s="80"/>
      <c r="S145" s="81"/>
      <c r="T145" s="78">
        <f t="shared" si="10"/>
        <v>0</v>
      </c>
      <c r="U145" s="79">
        <f t="shared" si="12"/>
        <v>0</v>
      </c>
      <c r="V145" s="80"/>
      <c r="W145" s="81"/>
      <c r="X145" s="80"/>
      <c r="Y145" s="81"/>
      <c r="Z145" s="80"/>
      <c r="AA145" s="80"/>
      <c r="AB145" s="80"/>
      <c r="AC145" s="81"/>
      <c r="AD145" s="81"/>
      <c r="AE145" s="81"/>
      <c r="AF145" s="80"/>
      <c r="AG145" s="81"/>
    </row>
    <row r="146" spans="1:33">
      <c r="A146" s="129" t="s">
        <v>179</v>
      </c>
      <c r="B146" s="130" t="s">
        <v>245</v>
      </c>
      <c r="C146" s="82"/>
      <c r="D146" s="86">
        <v>483045</v>
      </c>
      <c r="E146" s="86">
        <v>12</v>
      </c>
      <c r="F146" s="78">
        <f t="shared" si="8"/>
        <v>171355</v>
      </c>
      <c r="G146" s="79">
        <f t="shared" si="9"/>
        <v>164946</v>
      </c>
      <c r="H146" s="80">
        <v>98491</v>
      </c>
      <c r="I146" s="81">
        <v>93921</v>
      </c>
      <c r="J146" s="80"/>
      <c r="K146" s="81"/>
      <c r="L146" s="80">
        <v>61616</v>
      </c>
      <c r="M146" s="80">
        <v>11248</v>
      </c>
      <c r="N146" s="80">
        <v>0</v>
      </c>
      <c r="O146" s="81">
        <v>59674</v>
      </c>
      <c r="P146" s="81">
        <v>11351</v>
      </c>
      <c r="Q146" s="81"/>
      <c r="R146" s="80"/>
      <c r="S146" s="81"/>
      <c r="T146" s="78">
        <f t="shared" si="10"/>
        <v>0</v>
      </c>
      <c r="U146" s="79">
        <f t="shared" si="12"/>
        <v>0</v>
      </c>
      <c r="V146" s="80"/>
      <c r="W146" s="81"/>
      <c r="X146" s="80"/>
      <c r="Y146" s="81"/>
      <c r="Z146" s="80"/>
      <c r="AA146" s="80"/>
      <c r="AB146" s="80"/>
      <c r="AC146" s="81"/>
      <c r="AD146" s="81"/>
      <c r="AE146" s="81"/>
      <c r="AF146" s="80"/>
      <c r="AG146" s="81"/>
    </row>
    <row r="147" spans="1:33">
      <c r="A147" s="129" t="s">
        <v>179</v>
      </c>
      <c r="B147" s="130" t="s">
        <v>246</v>
      </c>
      <c r="C147" s="82"/>
      <c r="D147" s="86">
        <v>140331</v>
      </c>
      <c r="E147" s="86">
        <v>12</v>
      </c>
      <c r="F147" s="78">
        <f t="shared" si="8"/>
        <v>192914</v>
      </c>
      <c r="G147" s="79">
        <f t="shared" si="9"/>
        <v>192262</v>
      </c>
      <c r="H147" s="80">
        <v>102589</v>
      </c>
      <c r="I147" s="81">
        <v>94642</v>
      </c>
      <c r="J147" s="80"/>
      <c r="K147" s="81"/>
      <c r="L147" s="80">
        <v>90325</v>
      </c>
      <c r="M147" s="80">
        <v>0</v>
      </c>
      <c r="N147" s="80">
        <v>0</v>
      </c>
      <c r="O147" s="81">
        <v>97620</v>
      </c>
      <c r="P147" s="81">
        <v>0</v>
      </c>
      <c r="Q147" s="81"/>
      <c r="R147" s="80"/>
      <c r="S147" s="81"/>
      <c r="T147" s="78">
        <f t="shared" si="10"/>
        <v>0</v>
      </c>
      <c r="U147" s="79">
        <f t="shared" si="12"/>
        <v>0</v>
      </c>
      <c r="V147" s="80"/>
      <c r="W147" s="81"/>
      <c r="X147" s="80"/>
      <c r="Y147" s="81"/>
      <c r="Z147" s="80"/>
      <c r="AA147" s="80"/>
      <c r="AB147" s="80"/>
      <c r="AC147" s="81"/>
      <c r="AD147" s="81"/>
      <c r="AE147" s="81"/>
      <c r="AF147" s="80"/>
      <c r="AG147" s="81"/>
    </row>
    <row r="148" spans="1:33">
      <c r="A148" s="129" t="s">
        <v>179</v>
      </c>
      <c r="B148" s="131" t="s">
        <v>247</v>
      </c>
      <c r="C148" s="82"/>
      <c r="D148" s="132">
        <v>485458</v>
      </c>
      <c r="E148" s="86">
        <v>12</v>
      </c>
      <c r="F148" s="78">
        <f t="shared" ref="F148:F211" si="13">SUM(H148,J148,L148,M148,N148,R148)</f>
        <v>49591</v>
      </c>
      <c r="G148" s="79">
        <f t="shared" ref="G148:G211" si="14">SUM(I148,K148,O148,P148,Q148,S148)</f>
        <v>55795</v>
      </c>
      <c r="H148" s="80">
        <v>40116</v>
      </c>
      <c r="I148" s="81">
        <v>44527</v>
      </c>
      <c r="J148" s="80"/>
      <c r="K148" s="81"/>
      <c r="L148" s="80">
        <v>9475</v>
      </c>
      <c r="M148" s="80">
        <v>0</v>
      </c>
      <c r="N148" s="80">
        <v>0</v>
      </c>
      <c r="O148" s="81">
        <v>11268</v>
      </c>
      <c r="P148" s="81">
        <v>0</v>
      </c>
      <c r="Q148" s="81"/>
      <c r="R148" s="80"/>
      <c r="S148" s="81"/>
      <c r="T148" s="78">
        <f t="shared" ref="T148:T211" si="15">SUM(V148,X148,Z148,AA148,AB148,AF148)</f>
        <v>0</v>
      </c>
      <c r="U148" s="79">
        <f t="shared" si="12"/>
        <v>0</v>
      </c>
      <c r="V148" s="80"/>
      <c r="W148" s="81"/>
      <c r="X148" s="80"/>
      <c r="Y148" s="81"/>
      <c r="Z148" s="80"/>
      <c r="AA148" s="80"/>
      <c r="AB148" s="80"/>
      <c r="AC148" s="81"/>
      <c r="AD148" s="81"/>
      <c r="AE148" s="81"/>
      <c r="AF148" s="80"/>
      <c r="AG148" s="81"/>
    </row>
    <row r="149" spans="1:33">
      <c r="A149" s="129" t="s">
        <v>179</v>
      </c>
      <c r="B149" s="130" t="s">
        <v>248</v>
      </c>
      <c r="C149" s="82"/>
      <c r="D149" s="86">
        <v>139357</v>
      </c>
      <c r="E149" s="86">
        <v>12</v>
      </c>
      <c r="F149" s="78">
        <f t="shared" si="13"/>
        <v>68745.3</v>
      </c>
      <c r="G149" s="79">
        <f t="shared" si="14"/>
        <v>66237.600000000006</v>
      </c>
      <c r="H149" s="80">
        <v>48350.3</v>
      </c>
      <c r="I149" s="81">
        <v>45247.6</v>
      </c>
      <c r="J149" s="80"/>
      <c r="K149" s="81"/>
      <c r="L149" s="80">
        <v>20395</v>
      </c>
      <c r="M149" s="80">
        <v>0</v>
      </c>
      <c r="N149" s="80">
        <v>0</v>
      </c>
      <c r="O149" s="81">
        <v>20990</v>
      </c>
      <c r="P149" s="81">
        <v>0</v>
      </c>
      <c r="Q149" s="81"/>
      <c r="R149" s="80"/>
      <c r="S149" s="81"/>
      <c r="T149" s="78">
        <f t="shared" si="15"/>
        <v>0</v>
      </c>
      <c r="U149" s="79">
        <f t="shared" si="12"/>
        <v>0</v>
      </c>
      <c r="V149" s="80"/>
      <c r="W149" s="81"/>
      <c r="X149" s="80"/>
      <c r="Y149" s="81"/>
      <c r="Z149" s="80"/>
      <c r="AA149" s="80"/>
      <c r="AB149" s="80"/>
      <c r="AC149" s="81"/>
      <c r="AD149" s="81"/>
      <c r="AE149" s="81"/>
      <c r="AF149" s="80"/>
      <c r="AG149" s="81"/>
    </row>
    <row r="150" spans="1:33">
      <c r="A150" s="129" t="s">
        <v>179</v>
      </c>
      <c r="B150" s="130" t="s">
        <v>249</v>
      </c>
      <c r="C150" s="82"/>
      <c r="D150" s="86">
        <v>139384</v>
      </c>
      <c r="E150" s="86">
        <v>12</v>
      </c>
      <c r="F150" s="78">
        <f t="shared" si="13"/>
        <v>119170</v>
      </c>
      <c r="G150" s="79">
        <f t="shared" si="14"/>
        <v>110511</v>
      </c>
      <c r="H150" s="80">
        <v>80566</v>
      </c>
      <c r="I150" s="81">
        <v>70215</v>
      </c>
      <c r="J150" s="80"/>
      <c r="K150" s="81"/>
      <c r="L150" s="80">
        <v>38604</v>
      </c>
      <c r="M150" s="80">
        <v>0</v>
      </c>
      <c r="N150" s="80">
        <v>0</v>
      </c>
      <c r="O150" s="81">
        <v>40296</v>
      </c>
      <c r="P150" s="81">
        <v>0</v>
      </c>
      <c r="Q150" s="81"/>
      <c r="R150" s="80"/>
      <c r="S150" s="81"/>
      <c r="T150" s="78">
        <f t="shared" si="15"/>
        <v>0</v>
      </c>
      <c r="U150" s="79">
        <f t="shared" si="12"/>
        <v>0</v>
      </c>
      <c r="V150" s="80"/>
      <c r="W150" s="81"/>
      <c r="X150" s="80"/>
      <c r="Y150" s="81"/>
      <c r="Z150" s="80"/>
      <c r="AA150" s="80"/>
      <c r="AB150" s="80"/>
      <c r="AC150" s="81"/>
      <c r="AD150" s="81"/>
      <c r="AE150" s="81"/>
      <c r="AF150" s="80"/>
      <c r="AG150" s="81"/>
    </row>
    <row r="151" spans="1:33">
      <c r="A151" s="129" t="s">
        <v>179</v>
      </c>
      <c r="B151" s="130" t="s">
        <v>250</v>
      </c>
      <c r="C151" s="83"/>
      <c r="D151" s="86">
        <v>244446</v>
      </c>
      <c r="E151" s="86">
        <v>12</v>
      </c>
      <c r="F151" s="78">
        <f t="shared" si="13"/>
        <v>86333</v>
      </c>
      <c r="G151" s="79">
        <f t="shared" si="14"/>
        <v>90588.5</v>
      </c>
      <c r="H151" s="80">
        <v>41716</v>
      </c>
      <c r="I151" s="81">
        <v>46191.5</v>
      </c>
      <c r="J151" s="80"/>
      <c r="K151" s="81"/>
      <c r="L151" s="80">
        <v>44617</v>
      </c>
      <c r="M151" s="80">
        <v>0</v>
      </c>
      <c r="N151" s="80">
        <v>0</v>
      </c>
      <c r="O151" s="81">
        <v>44397</v>
      </c>
      <c r="P151" s="81">
        <v>0</v>
      </c>
      <c r="Q151" s="81"/>
      <c r="R151" s="80"/>
      <c r="S151" s="81"/>
      <c r="T151" s="78">
        <f t="shared" si="15"/>
        <v>0</v>
      </c>
      <c r="U151" s="79">
        <f t="shared" si="12"/>
        <v>0</v>
      </c>
      <c r="V151" s="80"/>
      <c r="W151" s="81"/>
      <c r="X151" s="80"/>
      <c r="Y151" s="81"/>
      <c r="Z151" s="80"/>
      <c r="AA151" s="80"/>
      <c r="AB151" s="80"/>
      <c r="AC151" s="81"/>
      <c r="AD151" s="81"/>
      <c r="AE151" s="81"/>
      <c r="AF151" s="80"/>
      <c r="AG151" s="81"/>
    </row>
    <row r="152" spans="1:33">
      <c r="A152" s="129" t="s">
        <v>179</v>
      </c>
      <c r="B152" s="130" t="s">
        <v>251</v>
      </c>
      <c r="C152" s="82"/>
      <c r="D152" s="86">
        <v>140012</v>
      </c>
      <c r="E152" s="86">
        <v>12</v>
      </c>
      <c r="F152" s="78">
        <f t="shared" si="13"/>
        <v>141261</v>
      </c>
      <c r="G152" s="79">
        <f t="shared" si="14"/>
        <v>155430</v>
      </c>
      <c r="H152" s="80">
        <v>86586</v>
      </c>
      <c r="I152" s="81">
        <v>94385</v>
      </c>
      <c r="J152" s="80"/>
      <c r="K152" s="81"/>
      <c r="L152" s="80">
        <v>54675</v>
      </c>
      <c r="M152" s="80">
        <v>0</v>
      </c>
      <c r="N152" s="80">
        <v>0</v>
      </c>
      <c r="O152" s="81">
        <v>61045</v>
      </c>
      <c r="P152" s="81">
        <v>0</v>
      </c>
      <c r="Q152" s="81"/>
      <c r="R152" s="80"/>
      <c r="S152" s="81"/>
      <c r="T152" s="78">
        <f t="shared" si="15"/>
        <v>0</v>
      </c>
      <c r="U152" s="79">
        <f t="shared" si="12"/>
        <v>0</v>
      </c>
      <c r="V152" s="80"/>
      <c r="W152" s="81"/>
      <c r="X152" s="80"/>
      <c r="Y152" s="81"/>
      <c r="Z152" s="80"/>
      <c r="AA152" s="80"/>
      <c r="AB152" s="80"/>
      <c r="AC152" s="81"/>
      <c r="AD152" s="81"/>
      <c r="AE152" s="81"/>
      <c r="AF152" s="80"/>
      <c r="AG152" s="81"/>
    </row>
    <row r="153" spans="1:33">
      <c r="A153" s="129" t="s">
        <v>179</v>
      </c>
      <c r="B153" s="130" t="s">
        <v>252</v>
      </c>
      <c r="C153" s="82"/>
      <c r="D153" s="86">
        <v>140243</v>
      </c>
      <c r="E153" s="86">
        <v>12</v>
      </c>
      <c r="F153" s="78">
        <f t="shared" si="13"/>
        <v>72584</v>
      </c>
      <c r="G153" s="79">
        <f t="shared" si="14"/>
        <v>73379</v>
      </c>
      <c r="H153" s="80">
        <v>48463</v>
      </c>
      <c r="I153" s="81">
        <v>50007</v>
      </c>
      <c r="J153" s="80"/>
      <c r="K153" s="81"/>
      <c r="L153" s="80">
        <v>24121</v>
      </c>
      <c r="M153" s="80">
        <v>0</v>
      </c>
      <c r="N153" s="80">
        <v>0</v>
      </c>
      <c r="O153" s="81">
        <v>23372</v>
      </c>
      <c r="P153" s="81">
        <v>0</v>
      </c>
      <c r="Q153" s="81"/>
      <c r="R153" s="80"/>
      <c r="S153" s="81"/>
      <c r="T153" s="78">
        <f t="shared" si="15"/>
        <v>0</v>
      </c>
      <c r="U153" s="79">
        <f t="shared" si="12"/>
        <v>0</v>
      </c>
      <c r="V153" s="80"/>
      <c r="W153" s="81"/>
      <c r="X153" s="80"/>
      <c r="Y153" s="81"/>
      <c r="Z153" s="80"/>
      <c r="AA153" s="80"/>
      <c r="AB153" s="80"/>
      <c r="AC153" s="81"/>
      <c r="AD153" s="81"/>
      <c r="AE153" s="81"/>
      <c r="AF153" s="80"/>
      <c r="AG153" s="81"/>
    </row>
    <row r="154" spans="1:33">
      <c r="A154" s="129" t="s">
        <v>179</v>
      </c>
      <c r="B154" s="130" t="s">
        <v>253</v>
      </c>
      <c r="C154" s="82"/>
      <c r="D154" s="86">
        <v>140678</v>
      </c>
      <c r="E154" s="86">
        <v>12</v>
      </c>
      <c r="F154" s="78">
        <f t="shared" si="13"/>
        <v>58671</v>
      </c>
      <c r="G154" s="79">
        <f t="shared" si="14"/>
        <v>57264</v>
      </c>
      <c r="H154" s="80">
        <v>40416</v>
      </c>
      <c r="I154" s="81">
        <v>39851</v>
      </c>
      <c r="J154" s="80"/>
      <c r="K154" s="81"/>
      <c r="L154" s="80">
        <v>18255</v>
      </c>
      <c r="M154" s="80">
        <v>0</v>
      </c>
      <c r="N154" s="80">
        <v>0</v>
      </c>
      <c r="O154" s="81">
        <v>17413</v>
      </c>
      <c r="P154" s="81">
        <v>0</v>
      </c>
      <c r="Q154" s="81"/>
      <c r="R154" s="80"/>
      <c r="S154" s="81"/>
      <c r="T154" s="78">
        <f t="shared" si="15"/>
        <v>0</v>
      </c>
      <c r="U154" s="79">
        <f t="shared" si="12"/>
        <v>0</v>
      </c>
      <c r="V154" s="80"/>
      <c r="W154" s="81"/>
      <c r="X154" s="80"/>
      <c r="Y154" s="81"/>
      <c r="Z154" s="80"/>
      <c r="AA154" s="80"/>
      <c r="AB154" s="80"/>
      <c r="AC154" s="81"/>
      <c r="AD154" s="81"/>
      <c r="AE154" s="81"/>
      <c r="AF154" s="80"/>
      <c r="AG154" s="81"/>
    </row>
    <row r="155" spans="1:33">
      <c r="A155" s="129" t="s">
        <v>179</v>
      </c>
      <c r="B155" s="130" t="s">
        <v>254</v>
      </c>
      <c r="C155" s="24" t="s">
        <v>263</v>
      </c>
      <c r="D155" s="86">
        <v>420431</v>
      </c>
      <c r="E155" s="86">
        <v>12</v>
      </c>
      <c r="F155" s="78">
        <f t="shared" si="13"/>
        <v>31309</v>
      </c>
      <c r="G155" s="79">
        <f t="shared" si="14"/>
        <v>29021</v>
      </c>
      <c r="H155" s="80">
        <v>21123</v>
      </c>
      <c r="I155" s="81">
        <v>19862</v>
      </c>
      <c r="J155" s="80"/>
      <c r="K155" s="81"/>
      <c r="L155" s="80">
        <v>10186</v>
      </c>
      <c r="M155" s="80">
        <v>0</v>
      </c>
      <c r="N155" s="80">
        <v>0</v>
      </c>
      <c r="O155" s="81">
        <v>9159</v>
      </c>
      <c r="P155" s="81">
        <v>0</v>
      </c>
      <c r="Q155" s="81"/>
      <c r="R155" s="80"/>
      <c r="S155" s="81"/>
      <c r="T155" s="78">
        <f t="shared" si="15"/>
        <v>0</v>
      </c>
      <c r="U155" s="79">
        <f t="shared" si="12"/>
        <v>0</v>
      </c>
      <c r="V155" s="80"/>
      <c r="W155" s="81"/>
      <c r="X155" s="80"/>
      <c r="Y155" s="81"/>
      <c r="Z155" s="80"/>
      <c r="AA155" s="80"/>
      <c r="AB155" s="80"/>
      <c r="AC155" s="81"/>
      <c r="AD155" s="81"/>
      <c r="AE155" s="81"/>
      <c r="AF155" s="80"/>
      <c r="AG155" s="81"/>
    </row>
    <row r="156" spans="1:33">
      <c r="A156" s="133" t="s">
        <v>179</v>
      </c>
      <c r="B156" s="130" t="s">
        <v>255</v>
      </c>
      <c r="C156" s="82"/>
      <c r="D156" s="86">
        <v>366465</v>
      </c>
      <c r="E156" s="86">
        <v>12</v>
      </c>
      <c r="F156" s="78">
        <f t="shared" si="13"/>
        <v>48844</v>
      </c>
      <c r="G156" s="79">
        <f t="shared" si="14"/>
        <v>47175</v>
      </c>
      <c r="H156" s="80">
        <v>34951</v>
      </c>
      <c r="I156" s="81">
        <v>32775</v>
      </c>
      <c r="J156" s="80"/>
      <c r="K156" s="81"/>
      <c r="L156" s="80">
        <v>13893</v>
      </c>
      <c r="M156" s="80">
        <v>0</v>
      </c>
      <c r="N156" s="80">
        <v>0</v>
      </c>
      <c r="O156" s="81">
        <v>14400</v>
      </c>
      <c r="P156" s="81">
        <v>0</v>
      </c>
      <c r="Q156" s="81"/>
      <c r="R156" s="80"/>
      <c r="S156" s="81"/>
      <c r="T156" s="78">
        <f t="shared" si="15"/>
        <v>0</v>
      </c>
      <c r="U156" s="79">
        <f t="shared" si="12"/>
        <v>0</v>
      </c>
      <c r="V156" s="80"/>
      <c r="W156" s="81"/>
      <c r="X156" s="80"/>
      <c r="Y156" s="81"/>
      <c r="Z156" s="80"/>
      <c r="AA156" s="80"/>
      <c r="AB156" s="80"/>
      <c r="AC156" s="81"/>
      <c r="AD156" s="81"/>
      <c r="AE156" s="81"/>
      <c r="AF156" s="80"/>
      <c r="AG156" s="81"/>
    </row>
    <row r="157" spans="1:33">
      <c r="A157" s="133" t="s">
        <v>179</v>
      </c>
      <c r="B157" s="130" t="s">
        <v>256</v>
      </c>
      <c r="C157" s="82"/>
      <c r="D157" s="86">
        <v>140942</v>
      </c>
      <c r="E157" s="86">
        <v>12</v>
      </c>
      <c r="F157" s="78">
        <f t="shared" si="13"/>
        <v>91358</v>
      </c>
      <c r="G157" s="79">
        <f t="shared" si="14"/>
        <v>87865</v>
      </c>
      <c r="H157" s="80">
        <v>67460</v>
      </c>
      <c r="I157" s="81">
        <v>64030</v>
      </c>
      <c r="J157" s="80"/>
      <c r="K157" s="81"/>
      <c r="L157" s="80">
        <v>23834</v>
      </c>
      <c r="M157" s="80">
        <v>64</v>
      </c>
      <c r="N157" s="80">
        <v>0</v>
      </c>
      <c r="O157" s="81">
        <v>23835</v>
      </c>
      <c r="P157" s="81">
        <v>0</v>
      </c>
      <c r="Q157" s="81"/>
      <c r="R157" s="80"/>
      <c r="S157" s="81"/>
      <c r="T157" s="78">
        <f t="shared" si="15"/>
        <v>0</v>
      </c>
      <c r="U157" s="79">
        <f t="shared" si="12"/>
        <v>0</v>
      </c>
      <c r="V157" s="80"/>
      <c r="W157" s="81"/>
      <c r="X157" s="80"/>
      <c r="Y157" s="81"/>
      <c r="Z157" s="80"/>
      <c r="AA157" s="80"/>
      <c r="AB157" s="80"/>
      <c r="AC157" s="81"/>
      <c r="AD157" s="81"/>
      <c r="AE157" s="81"/>
      <c r="AF157" s="80"/>
      <c r="AG157" s="81"/>
    </row>
    <row r="158" spans="1:33">
      <c r="A158" s="133" t="s">
        <v>179</v>
      </c>
      <c r="B158" s="130" t="s">
        <v>257</v>
      </c>
      <c r="C158" s="82"/>
      <c r="D158" s="86">
        <v>141006</v>
      </c>
      <c r="E158" s="86">
        <v>12</v>
      </c>
      <c r="F158" s="78">
        <f t="shared" si="13"/>
        <v>44867</v>
      </c>
      <c r="G158" s="79">
        <f t="shared" si="14"/>
        <v>45742</v>
      </c>
      <c r="H158" s="80">
        <v>42008</v>
      </c>
      <c r="I158" s="81">
        <v>39296</v>
      </c>
      <c r="J158" s="80"/>
      <c r="K158" s="81"/>
      <c r="L158" s="80">
        <v>2859</v>
      </c>
      <c r="M158" s="80">
        <v>0</v>
      </c>
      <c r="N158" s="80">
        <v>0</v>
      </c>
      <c r="O158" s="81">
        <v>6446</v>
      </c>
      <c r="P158" s="81">
        <v>0</v>
      </c>
      <c r="Q158" s="81"/>
      <c r="R158" s="80"/>
      <c r="S158" s="81"/>
      <c r="T158" s="78">
        <f t="shared" si="15"/>
        <v>0</v>
      </c>
      <c r="U158" s="79">
        <f t="shared" si="12"/>
        <v>0</v>
      </c>
      <c r="V158" s="80"/>
      <c r="W158" s="81"/>
      <c r="X158" s="80"/>
      <c r="Y158" s="81"/>
      <c r="Z158" s="80"/>
      <c r="AA158" s="80"/>
      <c r="AB158" s="80"/>
      <c r="AC158" s="81"/>
      <c r="AD158" s="81"/>
      <c r="AE158" s="81"/>
      <c r="AF158" s="80"/>
      <c r="AG158" s="81"/>
    </row>
    <row r="159" spans="1:33">
      <c r="A159" s="133" t="s">
        <v>179</v>
      </c>
      <c r="B159" s="130" t="s">
        <v>258</v>
      </c>
      <c r="C159" s="82"/>
      <c r="D159" s="86">
        <v>368911</v>
      </c>
      <c r="E159" s="86">
        <v>12</v>
      </c>
      <c r="F159" s="78">
        <f t="shared" si="13"/>
        <v>34559</v>
      </c>
      <c r="G159" s="79">
        <f t="shared" si="14"/>
        <v>34581</v>
      </c>
      <c r="H159" s="80">
        <v>27633</v>
      </c>
      <c r="I159" s="81">
        <v>26693</v>
      </c>
      <c r="J159" s="80"/>
      <c r="K159" s="81"/>
      <c r="L159" s="80">
        <v>6926</v>
      </c>
      <c r="M159" s="80">
        <v>0</v>
      </c>
      <c r="N159" s="80">
        <v>0</v>
      </c>
      <c r="O159" s="81">
        <v>7888</v>
      </c>
      <c r="P159" s="81">
        <v>0</v>
      </c>
      <c r="Q159" s="81"/>
      <c r="R159" s="80"/>
      <c r="S159" s="81"/>
      <c r="T159" s="78">
        <f t="shared" si="15"/>
        <v>0</v>
      </c>
      <c r="U159" s="79">
        <f t="shared" si="12"/>
        <v>0</v>
      </c>
      <c r="V159" s="80"/>
      <c r="W159" s="81"/>
      <c r="X159" s="80"/>
      <c r="Y159" s="81"/>
      <c r="Z159" s="80"/>
      <c r="AA159" s="80"/>
      <c r="AB159" s="80"/>
      <c r="AC159" s="81"/>
      <c r="AD159" s="81"/>
      <c r="AE159" s="81"/>
      <c r="AF159" s="80"/>
      <c r="AG159" s="81"/>
    </row>
    <row r="160" spans="1:33">
      <c r="A160" s="133" t="s">
        <v>179</v>
      </c>
      <c r="B160" s="134" t="s">
        <v>259</v>
      </c>
      <c r="C160" s="82"/>
      <c r="D160" s="86">
        <v>139986</v>
      </c>
      <c r="E160" s="86">
        <v>12</v>
      </c>
      <c r="F160" s="78">
        <f t="shared" si="13"/>
        <v>95562</v>
      </c>
      <c r="G160" s="79">
        <f t="shared" si="14"/>
        <v>94521</v>
      </c>
      <c r="H160" s="80">
        <v>68316</v>
      </c>
      <c r="I160" s="81">
        <v>64940</v>
      </c>
      <c r="J160" s="80"/>
      <c r="K160" s="81"/>
      <c r="L160" s="80">
        <v>27246</v>
      </c>
      <c r="M160" s="80">
        <v>0</v>
      </c>
      <c r="N160" s="80">
        <v>0</v>
      </c>
      <c r="O160" s="81">
        <v>29581</v>
      </c>
      <c r="P160" s="81">
        <v>0</v>
      </c>
      <c r="Q160" s="81"/>
      <c r="R160" s="80"/>
      <c r="S160" s="81"/>
      <c r="T160" s="78">
        <f t="shared" si="15"/>
        <v>0</v>
      </c>
      <c r="U160" s="79">
        <f t="shared" si="12"/>
        <v>0</v>
      </c>
      <c r="V160" s="80"/>
      <c r="W160" s="81"/>
      <c r="X160" s="80"/>
      <c r="Y160" s="81"/>
      <c r="Z160" s="80"/>
      <c r="AA160" s="80"/>
      <c r="AB160" s="80"/>
      <c r="AC160" s="81"/>
      <c r="AD160" s="81"/>
      <c r="AE160" s="81"/>
      <c r="AF160" s="80"/>
      <c r="AG160" s="81"/>
    </row>
    <row r="161" spans="1:33">
      <c r="A161" s="133" t="s">
        <v>179</v>
      </c>
      <c r="B161" s="131" t="s">
        <v>260</v>
      </c>
      <c r="C161" s="82"/>
      <c r="D161" s="132">
        <v>487162</v>
      </c>
      <c r="E161" s="86">
        <v>12</v>
      </c>
      <c r="F161" s="78">
        <f t="shared" si="13"/>
        <v>76052</v>
      </c>
      <c r="G161" s="79">
        <f t="shared" si="14"/>
        <v>79454</v>
      </c>
      <c r="H161" s="80">
        <v>57023</v>
      </c>
      <c r="I161" s="81">
        <v>57782</v>
      </c>
      <c r="J161" s="80"/>
      <c r="K161" s="81"/>
      <c r="L161" s="80">
        <v>19029</v>
      </c>
      <c r="M161" s="80">
        <v>0</v>
      </c>
      <c r="N161" s="80">
        <v>0</v>
      </c>
      <c r="O161" s="81">
        <v>21672</v>
      </c>
      <c r="P161" s="81">
        <v>0</v>
      </c>
      <c r="Q161" s="81"/>
      <c r="R161" s="80"/>
      <c r="S161" s="81"/>
      <c r="T161" s="78">
        <f t="shared" si="15"/>
        <v>0</v>
      </c>
      <c r="U161" s="79">
        <f t="shared" si="12"/>
        <v>0</v>
      </c>
      <c r="V161" s="80"/>
      <c r="W161" s="81"/>
      <c r="X161" s="80"/>
      <c r="Y161" s="81"/>
      <c r="Z161" s="80"/>
      <c r="AA161" s="80"/>
      <c r="AB161" s="80"/>
      <c r="AC161" s="81"/>
      <c r="AD161" s="81"/>
      <c r="AE161" s="81"/>
      <c r="AF161" s="80"/>
      <c r="AG161" s="81"/>
    </row>
    <row r="162" spans="1:33">
      <c r="A162" s="133" t="s">
        <v>179</v>
      </c>
      <c r="B162" s="130" t="s">
        <v>261</v>
      </c>
      <c r="C162" s="82"/>
      <c r="D162" s="86">
        <v>139278</v>
      </c>
      <c r="E162" s="86">
        <v>12</v>
      </c>
      <c r="F162" s="78">
        <f t="shared" si="13"/>
        <v>134840</v>
      </c>
      <c r="G162" s="79">
        <f t="shared" si="14"/>
        <v>133485</v>
      </c>
      <c r="H162" s="80">
        <v>93873</v>
      </c>
      <c r="I162" s="81">
        <v>91035</v>
      </c>
      <c r="J162" s="80"/>
      <c r="K162" s="81"/>
      <c r="L162" s="80">
        <v>40967</v>
      </c>
      <c r="M162" s="80">
        <v>0</v>
      </c>
      <c r="N162" s="80">
        <v>0</v>
      </c>
      <c r="O162" s="81">
        <v>42450</v>
      </c>
      <c r="P162" s="81">
        <v>0</v>
      </c>
      <c r="Q162" s="81"/>
      <c r="R162" s="80"/>
      <c r="S162" s="81"/>
      <c r="T162" s="78">
        <f t="shared" si="15"/>
        <v>0</v>
      </c>
      <c r="U162" s="79">
        <f t="shared" si="12"/>
        <v>0</v>
      </c>
      <c r="V162" s="80"/>
      <c r="W162" s="81"/>
      <c r="X162" s="80"/>
      <c r="Y162" s="81"/>
      <c r="Z162" s="80"/>
      <c r="AA162" s="80"/>
      <c r="AB162" s="80"/>
      <c r="AC162" s="81"/>
      <c r="AD162" s="81"/>
      <c r="AE162" s="81"/>
      <c r="AF162" s="80"/>
      <c r="AG162" s="81"/>
    </row>
    <row r="163" spans="1:33">
      <c r="A163" s="133" t="s">
        <v>179</v>
      </c>
      <c r="B163" s="134" t="s">
        <v>262</v>
      </c>
      <c r="C163" s="82"/>
      <c r="D163" s="86">
        <v>141255</v>
      </c>
      <c r="E163" s="86">
        <v>12</v>
      </c>
      <c r="F163" s="78">
        <f t="shared" si="13"/>
        <v>75341</v>
      </c>
      <c r="G163" s="79">
        <f t="shared" si="14"/>
        <v>76205</v>
      </c>
      <c r="H163" s="80">
        <v>60043</v>
      </c>
      <c r="I163" s="81">
        <v>62118</v>
      </c>
      <c r="J163" s="80"/>
      <c r="K163" s="81"/>
      <c r="L163" s="80">
        <v>15298</v>
      </c>
      <c r="M163" s="80">
        <v>0</v>
      </c>
      <c r="N163" s="80">
        <v>0</v>
      </c>
      <c r="O163" s="81">
        <v>14087</v>
      </c>
      <c r="P163" s="81">
        <v>0</v>
      </c>
      <c r="Q163" s="81"/>
      <c r="R163" s="80"/>
      <c r="S163" s="81"/>
      <c r="T163" s="78">
        <f t="shared" si="15"/>
        <v>0</v>
      </c>
      <c r="U163" s="79">
        <f t="shared" si="12"/>
        <v>0</v>
      </c>
      <c r="V163" s="80"/>
      <c r="W163" s="81"/>
      <c r="X163" s="80"/>
      <c r="Y163" s="81"/>
      <c r="Z163" s="80"/>
      <c r="AA163" s="80"/>
      <c r="AB163" s="80"/>
      <c r="AC163" s="81"/>
      <c r="AD163" s="81"/>
      <c r="AE163" s="81"/>
      <c r="AF163" s="80"/>
      <c r="AG163" s="81"/>
    </row>
    <row r="164" spans="1:33" s="44" customFormat="1" ht="13.5" customHeight="1">
      <c r="A164" s="135" t="s">
        <v>264</v>
      </c>
      <c r="B164" s="19" t="s">
        <v>265</v>
      </c>
      <c r="C164" s="18"/>
      <c r="D164" s="17">
        <v>157085</v>
      </c>
      <c r="E164" s="17">
        <v>1</v>
      </c>
      <c r="F164" s="78">
        <f t="shared" si="13"/>
        <v>687956</v>
      </c>
      <c r="G164" s="79">
        <f t="shared" si="14"/>
        <v>679007</v>
      </c>
      <c r="H164" s="80">
        <v>634640</v>
      </c>
      <c r="I164" s="81">
        <v>618621</v>
      </c>
      <c r="J164" s="80">
        <v>7513</v>
      </c>
      <c r="K164" s="81">
        <v>6688</v>
      </c>
      <c r="L164" s="80">
        <v>44291</v>
      </c>
      <c r="M164" s="80">
        <v>946</v>
      </c>
      <c r="N164" s="80">
        <v>566</v>
      </c>
      <c r="O164" s="81">
        <v>52263</v>
      </c>
      <c r="P164" s="81">
        <v>180</v>
      </c>
      <c r="Q164" s="81">
        <v>1255</v>
      </c>
      <c r="R164" s="80"/>
      <c r="S164" s="81"/>
      <c r="T164" s="78">
        <f t="shared" si="15"/>
        <v>80001</v>
      </c>
      <c r="U164" s="79">
        <f t="shared" si="12"/>
        <v>83737</v>
      </c>
      <c r="V164" s="80">
        <v>63229</v>
      </c>
      <c r="W164" s="81">
        <v>65706</v>
      </c>
      <c r="X164" s="80">
        <v>1587</v>
      </c>
      <c r="Y164" s="81">
        <v>377</v>
      </c>
      <c r="Z164" s="80">
        <v>14591</v>
      </c>
      <c r="AA164" s="80">
        <v>456</v>
      </c>
      <c r="AB164" s="80">
        <v>138</v>
      </c>
      <c r="AC164" s="81">
        <v>17360</v>
      </c>
      <c r="AD164" s="81"/>
      <c r="AE164" s="81">
        <v>294</v>
      </c>
      <c r="AF164" s="80"/>
      <c r="AG164" s="81"/>
    </row>
    <row r="165" spans="1:33">
      <c r="A165" s="135" t="s">
        <v>264</v>
      </c>
      <c r="B165" s="19" t="s">
        <v>266</v>
      </c>
      <c r="C165" s="18"/>
      <c r="D165" s="17">
        <v>157289</v>
      </c>
      <c r="E165" s="17">
        <v>1</v>
      </c>
      <c r="F165" s="78">
        <f t="shared" si="13"/>
        <v>408801</v>
      </c>
      <c r="G165" s="79">
        <f t="shared" si="14"/>
        <v>399252</v>
      </c>
      <c r="H165" s="80">
        <v>349707</v>
      </c>
      <c r="I165" s="81">
        <v>338779</v>
      </c>
      <c r="J165" s="80">
        <v>15186</v>
      </c>
      <c r="K165" s="81">
        <v>13123</v>
      </c>
      <c r="L165" s="80">
        <v>43908</v>
      </c>
      <c r="M165" s="80"/>
      <c r="N165" s="80"/>
      <c r="O165" s="81">
        <v>47350</v>
      </c>
      <c r="P165" s="81"/>
      <c r="Q165" s="81"/>
      <c r="R165" s="80"/>
      <c r="S165" s="81"/>
      <c r="T165" s="78">
        <f t="shared" si="15"/>
        <v>78494</v>
      </c>
      <c r="U165" s="79">
        <f t="shared" si="12"/>
        <v>77483</v>
      </c>
      <c r="V165" s="80">
        <v>54520</v>
      </c>
      <c r="W165" s="81">
        <v>54360</v>
      </c>
      <c r="X165" s="80">
        <v>10598</v>
      </c>
      <c r="Y165" s="81">
        <v>6396</v>
      </c>
      <c r="Z165" s="80">
        <v>13376</v>
      </c>
      <c r="AA165" s="80"/>
      <c r="AB165" s="80"/>
      <c r="AC165" s="81">
        <v>16727</v>
      </c>
      <c r="AD165" s="81"/>
      <c r="AE165" s="81"/>
      <c r="AF165" s="80"/>
      <c r="AG165" s="81"/>
    </row>
    <row r="166" spans="1:33">
      <c r="A166" s="135" t="s">
        <v>264</v>
      </c>
      <c r="B166" s="19" t="s">
        <v>267</v>
      </c>
      <c r="C166" s="18"/>
      <c r="D166" s="17">
        <v>156620</v>
      </c>
      <c r="E166" s="17">
        <v>3</v>
      </c>
      <c r="F166" s="78">
        <f t="shared" si="13"/>
        <v>399992</v>
      </c>
      <c r="G166" s="79">
        <f t="shared" si="14"/>
        <v>392352</v>
      </c>
      <c r="H166" s="80">
        <v>304647</v>
      </c>
      <c r="I166" s="81">
        <v>300699</v>
      </c>
      <c r="J166" s="80">
        <v>14590</v>
      </c>
      <c r="K166" s="81">
        <v>14241</v>
      </c>
      <c r="L166" s="80">
        <v>71040</v>
      </c>
      <c r="M166" s="80">
        <v>7528</v>
      </c>
      <c r="N166" s="80">
        <v>2187</v>
      </c>
      <c r="O166" s="81">
        <v>68592</v>
      </c>
      <c r="P166" s="81">
        <v>8290</v>
      </c>
      <c r="Q166" s="81">
        <v>530</v>
      </c>
      <c r="R166" s="80"/>
      <c r="S166" s="81"/>
      <c r="T166" s="78">
        <f t="shared" si="15"/>
        <v>44682</v>
      </c>
      <c r="U166" s="79">
        <f t="shared" si="12"/>
        <v>43235</v>
      </c>
      <c r="V166" s="80">
        <v>16003</v>
      </c>
      <c r="W166" s="81">
        <v>15586</v>
      </c>
      <c r="X166" s="80">
        <v>953</v>
      </c>
      <c r="Y166" s="81">
        <v>880</v>
      </c>
      <c r="Z166" s="80">
        <v>27223</v>
      </c>
      <c r="AA166" s="80">
        <v>3</v>
      </c>
      <c r="AB166" s="80">
        <v>500</v>
      </c>
      <c r="AC166" s="81">
        <v>26323</v>
      </c>
      <c r="AD166" s="81">
        <v>90</v>
      </c>
      <c r="AE166" s="81">
        <v>356</v>
      </c>
      <c r="AF166" s="80"/>
      <c r="AG166" s="81"/>
    </row>
    <row r="167" spans="1:33">
      <c r="A167" s="135" t="s">
        <v>264</v>
      </c>
      <c r="B167" s="19" t="s">
        <v>268</v>
      </c>
      <c r="C167" s="18"/>
      <c r="D167" s="17">
        <v>157386</v>
      </c>
      <c r="E167" s="17">
        <v>3</v>
      </c>
      <c r="F167" s="78">
        <f t="shared" si="13"/>
        <v>205440</v>
      </c>
      <c r="G167" s="79">
        <f t="shared" si="14"/>
        <v>204679</v>
      </c>
      <c r="H167" s="80">
        <v>131975</v>
      </c>
      <c r="I167" s="81">
        <v>121009</v>
      </c>
      <c r="J167" s="80">
        <v>21141</v>
      </c>
      <c r="K167" s="81">
        <v>29264</v>
      </c>
      <c r="L167" s="80">
        <v>47136</v>
      </c>
      <c r="M167" s="80">
        <v>5188</v>
      </c>
      <c r="N167" s="80"/>
      <c r="O167" s="81">
        <v>50257</v>
      </c>
      <c r="P167" s="81">
        <v>4149</v>
      </c>
      <c r="Q167" s="81"/>
      <c r="R167" s="80"/>
      <c r="S167" s="81"/>
      <c r="T167" s="78">
        <f t="shared" si="15"/>
        <v>15485</v>
      </c>
      <c r="U167" s="79">
        <f t="shared" si="12"/>
        <v>13946</v>
      </c>
      <c r="V167" s="80">
        <v>2500</v>
      </c>
      <c r="W167" s="81">
        <v>1647</v>
      </c>
      <c r="X167" s="80">
        <v>576</v>
      </c>
      <c r="Y167" s="81">
        <v>901</v>
      </c>
      <c r="Z167" s="80">
        <v>12406</v>
      </c>
      <c r="AA167" s="80">
        <v>3</v>
      </c>
      <c r="AB167" s="80"/>
      <c r="AC167" s="81">
        <v>11266</v>
      </c>
      <c r="AD167" s="81">
        <v>132</v>
      </c>
      <c r="AE167" s="81"/>
      <c r="AF167" s="80"/>
      <c r="AG167" s="81"/>
    </row>
    <row r="168" spans="1:33">
      <c r="A168" s="135" t="s">
        <v>264</v>
      </c>
      <c r="B168" s="19" t="s">
        <v>269</v>
      </c>
      <c r="C168" s="18"/>
      <c r="D168" s="17">
        <v>157401</v>
      </c>
      <c r="E168" s="17">
        <v>3</v>
      </c>
      <c r="F168" s="78">
        <f t="shared" si="13"/>
        <v>235157</v>
      </c>
      <c r="G168" s="79">
        <f t="shared" si="14"/>
        <v>222238</v>
      </c>
      <c r="H168" s="80">
        <v>194523</v>
      </c>
      <c r="I168" s="81">
        <v>180036</v>
      </c>
      <c r="J168" s="80">
        <v>10331</v>
      </c>
      <c r="K168" s="81">
        <v>10039</v>
      </c>
      <c r="L168" s="80">
        <v>21917</v>
      </c>
      <c r="M168" s="80">
        <v>8386</v>
      </c>
      <c r="N168" s="80"/>
      <c r="O168" s="81">
        <v>24470</v>
      </c>
      <c r="P168" s="81">
        <v>7693</v>
      </c>
      <c r="Q168" s="81"/>
      <c r="R168" s="80"/>
      <c r="S168" s="81"/>
      <c r="T168" s="78">
        <f t="shared" si="15"/>
        <v>26169</v>
      </c>
      <c r="U168" s="79">
        <f t="shared" si="12"/>
        <v>22040</v>
      </c>
      <c r="V168" s="80">
        <v>12993</v>
      </c>
      <c r="W168" s="81">
        <v>10655</v>
      </c>
      <c r="X168" s="80">
        <v>1729</v>
      </c>
      <c r="Y168" s="81">
        <v>1325</v>
      </c>
      <c r="Z168" s="80">
        <v>10709</v>
      </c>
      <c r="AA168" s="80">
        <v>738</v>
      </c>
      <c r="AB168" s="80"/>
      <c r="AC168" s="81">
        <v>9673</v>
      </c>
      <c r="AD168" s="81">
        <v>387</v>
      </c>
      <c r="AE168" s="81"/>
      <c r="AF168" s="80"/>
      <c r="AG168" s="81"/>
    </row>
    <row r="169" spans="1:33">
      <c r="A169" s="135" t="s">
        <v>264</v>
      </c>
      <c r="B169" s="19" t="s">
        <v>270</v>
      </c>
      <c r="C169" s="16"/>
      <c r="D169" s="17">
        <v>157447</v>
      </c>
      <c r="E169" s="15">
        <v>3</v>
      </c>
      <c r="F169" s="78">
        <f t="shared" si="13"/>
        <v>358579</v>
      </c>
      <c r="G169" s="79">
        <f t="shared" si="14"/>
        <v>346325</v>
      </c>
      <c r="H169" s="80">
        <v>280366</v>
      </c>
      <c r="I169" s="81">
        <v>264139</v>
      </c>
      <c r="J169" s="80">
        <v>13787</v>
      </c>
      <c r="K169" s="81">
        <v>15109</v>
      </c>
      <c r="L169" s="80">
        <v>64219</v>
      </c>
      <c r="M169" s="80">
        <v>207</v>
      </c>
      <c r="N169" s="80"/>
      <c r="O169" s="81">
        <v>66861</v>
      </c>
      <c r="P169" s="81">
        <v>216</v>
      </c>
      <c r="Q169" s="81"/>
      <c r="R169" s="80"/>
      <c r="S169" s="81"/>
      <c r="T169" s="78">
        <f t="shared" si="15"/>
        <v>35501</v>
      </c>
      <c r="U169" s="79">
        <f t="shared" si="12"/>
        <v>36073</v>
      </c>
      <c r="V169" s="80">
        <v>25286</v>
      </c>
      <c r="W169" s="81">
        <v>25156</v>
      </c>
      <c r="X169" s="80">
        <v>951</v>
      </c>
      <c r="Y169" s="81">
        <v>846</v>
      </c>
      <c r="Z169" s="80">
        <v>9264</v>
      </c>
      <c r="AA169" s="80"/>
      <c r="AB169" s="80"/>
      <c r="AC169" s="81">
        <v>10071</v>
      </c>
      <c r="AD169" s="81"/>
      <c r="AE169" s="81"/>
      <c r="AF169" s="80"/>
      <c r="AG169" s="81"/>
    </row>
    <row r="170" spans="1:33">
      <c r="A170" s="135" t="s">
        <v>264</v>
      </c>
      <c r="B170" s="19" t="s">
        <v>271</v>
      </c>
      <c r="C170" s="18"/>
      <c r="D170" s="17">
        <v>157951</v>
      </c>
      <c r="E170" s="17">
        <v>3</v>
      </c>
      <c r="F170" s="78">
        <f t="shared" si="13"/>
        <v>433717</v>
      </c>
      <c r="G170" s="79">
        <f t="shared" si="14"/>
        <v>430776</v>
      </c>
      <c r="H170" s="80">
        <v>323109</v>
      </c>
      <c r="I170" s="81">
        <v>318133</v>
      </c>
      <c r="J170" s="80">
        <v>27776</v>
      </c>
      <c r="K170" s="81">
        <v>30579</v>
      </c>
      <c r="L170" s="80">
        <v>78060</v>
      </c>
      <c r="M170" s="80">
        <v>4678</v>
      </c>
      <c r="N170" s="80">
        <v>94</v>
      </c>
      <c r="O170" s="81">
        <v>79330</v>
      </c>
      <c r="P170" s="81">
        <v>2707</v>
      </c>
      <c r="Q170" s="81">
        <v>27</v>
      </c>
      <c r="R170" s="80"/>
      <c r="S170" s="81"/>
      <c r="T170" s="78">
        <f t="shared" si="15"/>
        <v>43294</v>
      </c>
      <c r="U170" s="79">
        <f t="shared" si="12"/>
        <v>40507</v>
      </c>
      <c r="V170" s="80">
        <v>20706</v>
      </c>
      <c r="W170" s="81">
        <v>18586</v>
      </c>
      <c r="X170" s="80">
        <v>601</v>
      </c>
      <c r="Y170" s="81">
        <v>473</v>
      </c>
      <c r="Z170" s="80">
        <v>21834</v>
      </c>
      <c r="AA170" s="80">
        <v>153</v>
      </c>
      <c r="AB170" s="80"/>
      <c r="AC170" s="81">
        <v>21333</v>
      </c>
      <c r="AD170" s="81">
        <v>115</v>
      </c>
      <c r="AE170" s="81"/>
      <c r="AF170" s="80"/>
      <c r="AG170" s="81"/>
    </row>
    <row r="171" spans="1:33">
      <c r="A171" s="135" t="s">
        <v>264</v>
      </c>
      <c r="B171" s="19" t="s">
        <v>272</v>
      </c>
      <c r="C171" s="18"/>
      <c r="D171" s="17">
        <v>157058</v>
      </c>
      <c r="E171" s="17">
        <v>4</v>
      </c>
      <c r="F171" s="78">
        <f t="shared" si="13"/>
        <v>40746</v>
      </c>
      <c r="G171" s="79">
        <f t="shared" si="14"/>
        <v>44162</v>
      </c>
      <c r="H171" s="80">
        <v>30841</v>
      </c>
      <c r="I171" s="81">
        <v>30423</v>
      </c>
      <c r="J171" s="80"/>
      <c r="K171" s="81">
        <v>213</v>
      </c>
      <c r="L171" s="80">
        <v>9904</v>
      </c>
      <c r="M171" s="80">
        <v>1</v>
      </c>
      <c r="N171" s="80"/>
      <c r="O171" s="81">
        <v>13525</v>
      </c>
      <c r="P171" s="81">
        <v>1</v>
      </c>
      <c r="Q171" s="81"/>
      <c r="R171" s="80"/>
      <c r="S171" s="81"/>
      <c r="T171" s="78">
        <f t="shared" si="15"/>
        <v>2304</v>
      </c>
      <c r="U171" s="79">
        <f t="shared" si="12"/>
        <v>2422</v>
      </c>
      <c r="V171" s="80">
        <v>1873</v>
      </c>
      <c r="W171" s="81">
        <v>1959</v>
      </c>
      <c r="X171" s="80"/>
      <c r="Y171" s="81"/>
      <c r="Z171" s="80">
        <v>431</v>
      </c>
      <c r="AA171" s="80"/>
      <c r="AB171" s="80"/>
      <c r="AC171" s="81">
        <v>463</v>
      </c>
      <c r="AD171" s="81"/>
      <c r="AE171" s="81"/>
      <c r="AF171" s="80"/>
      <c r="AG171" s="81"/>
    </row>
    <row r="172" spans="1:33">
      <c r="A172" s="135" t="s">
        <v>264</v>
      </c>
      <c r="B172" s="19" t="s">
        <v>273</v>
      </c>
      <c r="C172" s="18"/>
      <c r="D172" s="17">
        <v>157173</v>
      </c>
      <c r="E172" s="17">
        <v>8</v>
      </c>
      <c r="F172" s="78">
        <f t="shared" si="13"/>
        <v>196250</v>
      </c>
      <c r="G172" s="79">
        <f t="shared" si="14"/>
        <v>190639</v>
      </c>
      <c r="H172" s="80">
        <v>89516</v>
      </c>
      <c r="I172" s="81">
        <v>113143</v>
      </c>
      <c r="J172" s="80">
        <v>36561</v>
      </c>
      <c r="K172" s="81">
        <v>6643</v>
      </c>
      <c r="L172" s="80">
        <v>70173</v>
      </c>
      <c r="M172" s="80"/>
      <c r="N172" s="80"/>
      <c r="O172" s="81">
        <v>70853</v>
      </c>
      <c r="P172" s="81"/>
      <c r="Q172" s="81"/>
      <c r="R172" s="80"/>
      <c r="S172" s="81"/>
      <c r="T172" s="78">
        <f t="shared" si="15"/>
        <v>0</v>
      </c>
      <c r="U172" s="79">
        <f t="shared" si="12"/>
        <v>0</v>
      </c>
      <c r="V172" s="80"/>
      <c r="W172" s="81" t="s">
        <v>274</v>
      </c>
      <c r="X172" s="80"/>
      <c r="Y172" s="81"/>
      <c r="Z172" s="80"/>
      <c r="AA172" s="80"/>
      <c r="AB172" s="80"/>
      <c r="AC172" s="81"/>
      <c r="AD172" s="81"/>
      <c r="AE172" s="81"/>
      <c r="AF172" s="80"/>
      <c r="AG172" s="81"/>
    </row>
    <row r="173" spans="1:33">
      <c r="A173" s="135" t="s">
        <v>264</v>
      </c>
      <c r="B173" s="19" t="s">
        <v>275</v>
      </c>
      <c r="C173" s="18"/>
      <c r="D173" s="17">
        <v>156921</v>
      </c>
      <c r="E173" s="17">
        <v>8</v>
      </c>
      <c r="F173" s="78">
        <f t="shared" si="13"/>
        <v>193620</v>
      </c>
      <c r="G173" s="79">
        <f t="shared" si="14"/>
        <v>193614</v>
      </c>
      <c r="H173" s="80">
        <v>132063</v>
      </c>
      <c r="I173" s="81">
        <v>125317</v>
      </c>
      <c r="J173" s="80">
        <v>8413</v>
      </c>
      <c r="K173" s="81">
        <v>10459</v>
      </c>
      <c r="L173" s="80">
        <v>53144</v>
      </c>
      <c r="M173" s="80"/>
      <c r="N173" s="80"/>
      <c r="O173" s="81">
        <v>57838</v>
      </c>
      <c r="P173" s="81"/>
      <c r="Q173" s="81"/>
      <c r="R173" s="80"/>
      <c r="S173" s="81"/>
      <c r="T173" s="78">
        <f t="shared" si="15"/>
        <v>0</v>
      </c>
      <c r="U173" s="79">
        <f t="shared" si="12"/>
        <v>0</v>
      </c>
      <c r="V173" s="80"/>
      <c r="W173" s="81"/>
      <c r="X173" s="80"/>
      <c r="Y173" s="81"/>
      <c r="Z173" s="80"/>
      <c r="AA173" s="80"/>
      <c r="AB173" s="80"/>
      <c r="AC173" s="81"/>
      <c r="AD173" s="81"/>
      <c r="AE173" s="81"/>
      <c r="AF173" s="80"/>
      <c r="AG173" s="81"/>
    </row>
    <row r="174" spans="1:33">
      <c r="A174" s="135" t="s">
        <v>264</v>
      </c>
      <c r="B174" s="19" t="s">
        <v>276</v>
      </c>
      <c r="C174" s="7" t="s">
        <v>290</v>
      </c>
      <c r="D174" s="17">
        <v>156231</v>
      </c>
      <c r="E174" s="17">
        <v>9</v>
      </c>
      <c r="F174" s="78">
        <f t="shared" si="13"/>
        <v>60306</v>
      </c>
      <c r="G174" s="79">
        <f t="shared" si="14"/>
        <v>58489</v>
      </c>
      <c r="H174" s="80">
        <v>32557</v>
      </c>
      <c r="I174" s="81">
        <v>32592</v>
      </c>
      <c r="J174" s="80">
        <v>2998</v>
      </c>
      <c r="K174" s="81">
        <v>2932</v>
      </c>
      <c r="L174" s="80">
        <v>24751</v>
      </c>
      <c r="M174" s="80"/>
      <c r="N174" s="80"/>
      <c r="O174" s="81">
        <v>22965</v>
      </c>
      <c r="P174" s="81"/>
      <c r="Q174" s="81"/>
      <c r="R174" s="80"/>
      <c r="S174" s="81"/>
      <c r="T174" s="78">
        <f t="shared" si="15"/>
        <v>0</v>
      </c>
      <c r="U174" s="79">
        <f t="shared" si="12"/>
        <v>0</v>
      </c>
      <c r="V174" s="80"/>
      <c r="W174" s="81"/>
      <c r="X174" s="80"/>
      <c r="Y174" s="81"/>
      <c r="Z174" s="80"/>
      <c r="AA174" s="80"/>
      <c r="AB174" s="80"/>
      <c r="AC174" s="81"/>
      <c r="AD174" s="81"/>
      <c r="AE174" s="81"/>
      <c r="AF174" s="80"/>
      <c r="AG174" s="81"/>
    </row>
    <row r="175" spans="1:33">
      <c r="A175" s="135" t="s">
        <v>264</v>
      </c>
      <c r="B175" s="19" t="s">
        <v>277</v>
      </c>
      <c r="C175" s="7"/>
      <c r="D175" s="17">
        <v>157553</v>
      </c>
      <c r="E175" s="17">
        <v>9</v>
      </c>
      <c r="F175" s="78">
        <f t="shared" si="13"/>
        <v>73628</v>
      </c>
      <c r="G175" s="79">
        <f t="shared" si="14"/>
        <v>71899</v>
      </c>
      <c r="H175" s="80">
        <v>38346</v>
      </c>
      <c r="I175" s="81">
        <v>36659</v>
      </c>
      <c r="J175" s="80">
        <v>1210</v>
      </c>
      <c r="K175" s="81">
        <v>779</v>
      </c>
      <c r="L175" s="80">
        <v>34072</v>
      </c>
      <c r="M175" s="80"/>
      <c r="N175" s="80"/>
      <c r="O175" s="81">
        <v>34461</v>
      </c>
      <c r="P175" s="81"/>
      <c r="Q175" s="81"/>
      <c r="R175" s="80"/>
      <c r="S175" s="81"/>
      <c r="T175" s="78">
        <f t="shared" si="15"/>
        <v>0</v>
      </c>
      <c r="U175" s="79">
        <f t="shared" si="12"/>
        <v>0</v>
      </c>
      <c r="V175" s="80"/>
      <c r="W175" s="81"/>
      <c r="X175" s="80"/>
      <c r="Y175" s="81"/>
      <c r="Z175" s="80"/>
      <c r="AA175" s="80"/>
      <c r="AB175" s="80"/>
      <c r="AC175" s="81"/>
      <c r="AD175" s="81"/>
      <c r="AE175" s="81"/>
      <c r="AF175" s="80"/>
      <c r="AG175" s="81"/>
    </row>
    <row r="176" spans="1:33">
      <c r="A176" s="135" t="s">
        <v>264</v>
      </c>
      <c r="B176" s="19" t="s">
        <v>278</v>
      </c>
      <c r="C176" s="7"/>
      <c r="D176" s="17">
        <v>156648</v>
      </c>
      <c r="E176" s="17">
        <v>9</v>
      </c>
      <c r="F176" s="78">
        <f t="shared" si="13"/>
        <v>104845</v>
      </c>
      <c r="G176" s="79">
        <f t="shared" si="14"/>
        <v>106331</v>
      </c>
      <c r="H176" s="80">
        <v>53123</v>
      </c>
      <c r="I176" s="81">
        <v>53764</v>
      </c>
      <c r="J176" s="80">
        <v>6776</v>
      </c>
      <c r="K176" s="81">
        <v>6739</v>
      </c>
      <c r="L176" s="80">
        <v>44946</v>
      </c>
      <c r="M176" s="80"/>
      <c r="N176" s="80"/>
      <c r="O176" s="81">
        <v>45828</v>
      </c>
      <c r="P176" s="81"/>
      <c r="Q176" s="81"/>
      <c r="R176" s="80"/>
      <c r="S176" s="81"/>
      <c r="T176" s="78">
        <f t="shared" si="15"/>
        <v>0</v>
      </c>
      <c r="U176" s="79">
        <f t="shared" si="12"/>
        <v>0</v>
      </c>
      <c r="V176" s="80"/>
      <c r="W176" s="81"/>
      <c r="X176" s="80"/>
      <c r="Y176" s="81"/>
      <c r="Z176" s="80"/>
      <c r="AA176" s="80"/>
      <c r="AB176" s="80"/>
      <c r="AC176" s="81"/>
      <c r="AD176" s="81"/>
      <c r="AE176" s="81"/>
      <c r="AF176" s="80"/>
      <c r="AG176" s="81"/>
    </row>
    <row r="177" spans="1:33">
      <c r="A177" s="135" t="s">
        <v>264</v>
      </c>
      <c r="B177" s="19" t="s">
        <v>279</v>
      </c>
      <c r="C177" s="6" t="s">
        <v>104</v>
      </c>
      <c r="D177" s="17">
        <v>156860</v>
      </c>
      <c r="E177" s="4">
        <v>10</v>
      </c>
      <c r="F177" s="78">
        <f t="shared" si="13"/>
        <v>54173</v>
      </c>
      <c r="G177" s="79">
        <f t="shared" si="14"/>
        <v>47436</v>
      </c>
      <c r="H177" s="80">
        <v>30494</v>
      </c>
      <c r="I177" s="81">
        <v>26039</v>
      </c>
      <c r="J177" s="80">
        <v>1009</v>
      </c>
      <c r="K177" s="81">
        <v>1168</v>
      </c>
      <c r="L177" s="80">
        <v>22670</v>
      </c>
      <c r="M177" s="80"/>
      <c r="N177" s="80"/>
      <c r="O177" s="81">
        <v>20229</v>
      </c>
      <c r="P177" s="81"/>
      <c r="Q177" s="81"/>
      <c r="R177" s="80"/>
      <c r="S177" s="81"/>
      <c r="T177" s="78">
        <f t="shared" si="15"/>
        <v>0</v>
      </c>
      <c r="U177" s="79">
        <f t="shared" si="12"/>
        <v>0</v>
      </c>
      <c r="V177" s="80"/>
      <c r="W177" s="81"/>
      <c r="X177" s="80"/>
      <c r="Y177" s="81"/>
      <c r="Z177" s="80"/>
      <c r="AA177" s="80"/>
      <c r="AB177" s="80"/>
      <c r="AC177" s="81"/>
      <c r="AD177" s="81"/>
      <c r="AE177" s="81"/>
      <c r="AF177" s="80"/>
      <c r="AG177" s="81"/>
    </row>
    <row r="178" spans="1:33">
      <c r="A178" s="135" t="s">
        <v>264</v>
      </c>
      <c r="B178" s="19" t="s">
        <v>280</v>
      </c>
      <c r="C178" s="6" t="s">
        <v>104</v>
      </c>
      <c r="D178" s="17">
        <v>157304</v>
      </c>
      <c r="E178" s="4">
        <v>10</v>
      </c>
      <c r="F178" s="78">
        <f t="shared" si="13"/>
        <v>49567</v>
      </c>
      <c r="G178" s="79">
        <f t="shared" si="14"/>
        <v>49570</v>
      </c>
      <c r="H178" s="80">
        <v>23231</v>
      </c>
      <c r="I178" s="81">
        <v>23091</v>
      </c>
      <c r="J178" s="80">
        <v>4299</v>
      </c>
      <c r="K178" s="81">
        <v>3759</v>
      </c>
      <c r="L178" s="80">
        <v>22037</v>
      </c>
      <c r="M178" s="80"/>
      <c r="N178" s="80"/>
      <c r="O178" s="81">
        <v>22720</v>
      </c>
      <c r="P178" s="81"/>
      <c r="Q178" s="81"/>
      <c r="R178" s="80"/>
      <c r="S178" s="81"/>
      <c r="T178" s="78">
        <f t="shared" si="15"/>
        <v>0</v>
      </c>
      <c r="U178" s="79">
        <f t="shared" si="12"/>
        <v>0</v>
      </c>
      <c r="V178" s="80"/>
      <c r="W178" s="81"/>
      <c r="X178" s="80"/>
      <c r="Y178" s="81"/>
      <c r="Z178" s="80"/>
      <c r="AA178" s="80"/>
      <c r="AB178" s="80"/>
      <c r="AC178" s="81"/>
      <c r="AD178" s="81"/>
      <c r="AE178" s="81"/>
      <c r="AF178" s="80"/>
      <c r="AG178" s="81"/>
    </row>
    <row r="179" spans="1:33">
      <c r="A179" s="135" t="s">
        <v>264</v>
      </c>
      <c r="B179" s="19" t="s">
        <v>281</v>
      </c>
      <c r="C179" s="7"/>
      <c r="D179" s="17">
        <v>157331</v>
      </c>
      <c r="E179" s="137">
        <v>9</v>
      </c>
      <c r="F179" s="78">
        <f t="shared" si="13"/>
        <v>68365</v>
      </c>
      <c r="G179" s="79">
        <f t="shared" si="14"/>
        <v>64602</v>
      </c>
      <c r="H179" s="80">
        <v>31761</v>
      </c>
      <c r="I179" s="81">
        <v>30268</v>
      </c>
      <c r="J179" s="80">
        <v>5340</v>
      </c>
      <c r="K179" s="81">
        <v>3718</v>
      </c>
      <c r="L179" s="80">
        <v>31264</v>
      </c>
      <c r="M179" s="80"/>
      <c r="N179" s="80"/>
      <c r="O179" s="81">
        <v>30616</v>
      </c>
      <c r="P179" s="81"/>
      <c r="Q179" s="81"/>
      <c r="R179" s="80"/>
      <c r="S179" s="81"/>
      <c r="T179" s="78">
        <f t="shared" si="15"/>
        <v>0</v>
      </c>
      <c r="U179" s="79">
        <f t="shared" si="12"/>
        <v>0</v>
      </c>
      <c r="V179" s="80"/>
      <c r="W179" s="81"/>
      <c r="X179" s="80"/>
      <c r="Y179" s="81"/>
      <c r="Z179" s="80"/>
      <c r="AA179" s="80"/>
      <c r="AB179" s="80"/>
      <c r="AC179" s="81"/>
      <c r="AD179" s="81"/>
      <c r="AE179" s="81"/>
      <c r="AF179" s="80"/>
      <c r="AG179" s="81"/>
    </row>
    <row r="180" spans="1:33">
      <c r="A180" s="135" t="s">
        <v>264</v>
      </c>
      <c r="B180" s="19" t="s">
        <v>282</v>
      </c>
      <c r="C180" s="7"/>
      <c r="D180" s="17">
        <v>247940</v>
      </c>
      <c r="E180" s="137">
        <v>9</v>
      </c>
      <c r="F180" s="78">
        <f t="shared" si="13"/>
        <v>64294</v>
      </c>
      <c r="G180" s="79">
        <f t="shared" si="14"/>
        <v>65018</v>
      </c>
      <c r="H180" s="80">
        <v>41629</v>
      </c>
      <c r="I180" s="81">
        <v>42798</v>
      </c>
      <c r="J180" s="80">
        <v>2953</v>
      </c>
      <c r="K180" s="81">
        <v>2410</v>
      </c>
      <c r="L180" s="80">
        <v>19712</v>
      </c>
      <c r="M180" s="80"/>
      <c r="N180" s="80"/>
      <c r="O180" s="81">
        <v>19810</v>
      </c>
      <c r="P180" s="81"/>
      <c r="Q180" s="81"/>
      <c r="R180" s="80"/>
      <c r="S180" s="81"/>
      <c r="T180" s="78">
        <f t="shared" si="15"/>
        <v>0</v>
      </c>
      <c r="U180" s="79">
        <f t="shared" si="12"/>
        <v>0</v>
      </c>
      <c r="V180" s="80"/>
      <c r="W180" s="81"/>
      <c r="X180" s="80"/>
      <c r="Y180" s="81"/>
      <c r="Z180" s="80"/>
      <c r="AA180" s="80"/>
      <c r="AB180" s="80"/>
      <c r="AC180" s="81"/>
      <c r="AD180" s="81"/>
      <c r="AE180" s="81"/>
      <c r="AF180" s="80"/>
      <c r="AG180" s="81"/>
    </row>
    <row r="181" spans="1:33">
      <c r="A181" s="135" t="s">
        <v>264</v>
      </c>
      <c r="B181" s="19" t="s">
        <v>283</v>
      </c>
      <c r="C181" s="7"/>
      <c r="D181" s="17">
        <v>157711</v>
      </c>
      <c r="E181" s="137">
        <v>9</v>
      </c>
      <c r="F181" s="78">
        <f t="shared" si="13"/>
        <v>120780</v>
      </c>
      <c r="G181" s="79">
        <f t="shared" si="14"/>
        <v>111398</v>
      </c>
      <c r="H181" s="80">
        <v>42099</v>
      </c>
      <c r="I181" s="81">
        <v>44637</v>
      </c>
      <c r="J181" s="80">
        <v>14934</v>
      </c>
      <c r="K181" s="81">
        <v>4642</v>
      </c>
      <c r="L181" s="80">
        <v>63747</v>
      </c>
      <c r="M181" s="80"/>
      <c r="N181" s="80"/>
      <c r="O181" s="81">
        <v>62119</v>
      </c>
      <c r="P181" s="81"/>
      <c r="Q181" s="81"/>
      <c r="R181" s="80"/>
      <c r="S181" s="81"/>
      <c r="T181" s="78">
        <f t="shared" si="15"/>
        <v>0</v>
      </c>
      <c r="U181" s="79">
        <f t="shared" si="12"/>
        <v>0</v>
      </c>
      <c r="V181" s="80"/>
      <c r="W181" s="81"/>
      <c r="X181" s="80"/>
      <c r="Y181" s="81"/>
      <c r="Z181" s="80"/>
      <c r="AA181" s="80"/>
      <c r="AB181" s="80"/>
      <c r="AC181" s="81"/>
      <c r="AD181" s="81"/>
      <c r="AE181" s="81"/>
      <c r="AF181" s="80"/>
      <c r="AG181" s="81"/>
    </row>
    <row r="182" spans="1:33">
      <c r="A182" s="135" t="s">
        <v>264</v>
      </c>
      <c r="B182" s="19" t="s">
        <v>284</v>
      </c>
      <c r="C182" s="6" t="s">
        <v>104</v>
      </c>
      <c r="D182" s="17">
        <v>157739</v>
      </c>
      <c r="E182" s="4">
        <v>10</v>
      </c>
      <c r="F182" s="78">
        <f t="shared" si="13"/>
        <v>58969</v>
      </c>
      <c r="G182" s="79">
        <f t="shared" si="14"/>
        <v>75044</v>
      </c>
      <c r="H182" s="80">
        <v>39407</v>
      </c>
      <c r="I182" s="81">
        <v>34948</v>
      </c>
      <c r="J182" s="80"/>
      <c r="K182" s="81">
        <v>20048</v>
      </c>
      <c r="L182" s="80">
        <v>19562</v>
      </c>
      <c r="M182" s="80"/>
      <c r="N182" s="80"/>
      <c r="O182" s="81">
        <v>20048</v>
      </c>
      <c r="P182" s="81"/>
      <c r="Q182" s="81"/>
      <c r="R182" s="80"/>
      <c r="S182" s="81"/>
      <c r="T182" s="78">
        <f t="shared" si="15"/>
        <v>0</v>
      </c>
      <c r="U182" s="79">
        <f t="shared" si="12"/>
        <v>0</v>
      </c>
      <c r="V182" s="80"/>
      <c r="W182" s="81"/>
      <c r="X182" s="80"/>
      <c r="Y182" s="81"/>
      <c r="Z182" s="80"/>
      <c r="AA182" s="80"/>
      <c r="AB182" s="80"/>
      <c r="AC182" s="81"/>
      <c r="AD182" s="81"/>
      <c r="AE182" s="81"/>
      <c r="AF182" s="80"/>
      <c r="AG182" s="81"/>
    </row>
    <row r="183" spans="1:33">
      <c r="A183" s="135" t="s">
        <v>264</v>
      </c>
      <c r="B183" s="19" t="s">
        <v>285</v>
      </c>
      <c r="C183" s="18"/>
      <c r="D183" s="17">
        <v>157483</v>
      </c>
      <c r="E183" s="17">
        <v>9</v>
      </c>
      <c r="F183" s="78">
        <f t="shared" si="13"/>
        <v>103111</v>
      </c>
      <c r="G183" s="79">
        <f t="shared" si="14"/>
        <v>100233</v>
      </c>
      <c r="H183" s="80">
        <v>53446</v>
      </c>
      <c r="I183" s="81">
        <v>52415</v>
      </c>
      <c r="J183" s="80">
        <v>5434</v>
      </c>
      <c r="K183" s="81">
        <v>5093</v>
      </c>
      <c r="L183" s="80">
        <v>44231</v>
      </c>
      <c r="M183" s="80"/>
      <c r="N183" s="80"/>
      <c r="O183" s="81">
        <v>42725</v>
      </c>
      <c r="P183" s="81"/>
      <c r="Q183" s="81"/>
      <c r="R183" s="80"/>
      <c r="S183" s="81"/>
      <c r="T183" s="78">
        <f t="shared" si="15"/>
        <v>0</v>
      </c>
      <c r="U183" s="79">
        <f t="shared" si="12"/>
        <v>0</v>
      </c>
      <c r="V183" s="80"/>
      <c r="W183" s="81"/>
      <c r="X183" s="80"/>
      <c r="Y183" s="81"/>
      <c r="Z183" s="80"/>
      <c r="AA183" s="80"/>
      <c r="AB183" s="80"/>
      <c r="AC183" s="81"/>
      <c r="AD183" s="81"/>
      <c r="AE183" s="81"/>
      <c r="AF183" s="80"/>
      <c r="AG183" s="81"/>
    </row>
    <row r="184" spans="1:33">
      <c r="A184" s="135" t="s">
        <v>264</v>
      </c>
      <c r="B184" s="19" t="s">
        <v>286</v>
      </c>
      <c r="C184" s="16"/>
      <c r="D184" s="17">
        <v>156790</v>
      </c>
      <c r="E184" s="136">
        <v>10</v>
      </c>
      <c r="F184" s="78">
        <f t="shared" si="13"/>
        <v>56419</v>
      </c>
      <c r="G184" s="79">
        <f t="shared" si="14"/>
        <v>55266</v>
      </c>
      <c r="H184" s="80">
        <v>21280</v>
      </c>
      <c r="I184" s="81">
        <v>19536</v>
      </c>
      <c r="J184" s="80">
        <v>1740</v>
      </c>
      <c r="K184" s="81">
        <v>2703</v>
      </c>
      <c r="L184" s="80">
        <v>33399</v>
      </c>
      <c r="M184" s="80"/>
      <c r="N184" s="80"/>
      <c r="O184" s="81">
        <v>33027</v>
      </c>
      <c r="P184" s="81"/>
      <c r="Q184" s="81"/>
      <c r="R184" s="80"/>
      <c r="S184" s="81"/>
      <c r="T184" s="78">
        <f t="shared" si="15"/>
        <v>0</v>
      </c>
      <c r="U184" s="79">
        <f t="shared" si="12"/>
        <v>0</v>
      </c>
      <c r="V184" s="80"/>
      <c r="W184" s="81"/>
      <c r="X184" s="80"/>
      <c r="Y184" s="81"/>
      <c r="Z184" s="80"/>
      <c r="AA184" s="80"/>
      <c r="AB184" s="80"/>
      <c r="AC184" s="81"/>
      <c r="AD184" s="81"/>
      <c r="AE184" s="81"/>
      <c r="AF184" s="80"/>
      <c r="AG184" s="81"/>
    </row>
    <row r="185" spans="1:33">
      <c r="A185" s="135" t="s">
        <v>264</v>
      </c>
      <c r="B185" s="19" t="s">
        <v>287</v>
      </c>
      <c r="C185" s="18"/>
      <c r="D185" s="17">
        <v>156851</v>
      </c>
      <c r="E185" s="17">
        <v>10</v>
      </c>
      <c r="F185" s="78">
        <f t="shared" si="13"/>
        <v>26616</v>
      </c>
      <c r="G185" s="79">
        <f t="shared" si="14"/>
        <v>28589</v>
      </c>
      <c r="H185" s="80">
        <v>13348</v>
      </c>
      <c r="I185" s="81">
        <v>14201</v>
      </c>
      <c r="J185" s="80">
        <v>1174</v>
      </c>
      <c r="K185" s="81">
        <v>2100</v>
      </c>
      <c r="L185" s="80">
        <v>12094</v>
      </c>
      <c r="M185" s="80"/>
      <c r="N185" s="80"/>
      <c r="O185" s="81">
        <v>12288</v>
      </c>
      <c r="P185" s="81"/>
      <c r="Q185" s="81"/>
      <c r="R185" s="80"/>
      <c r="S185" s="81"/>
      <c r="T185" s="78">
        <f t="shared" si="15"/>
        <v>0</v>
      </c>
      <c r="U185" s="79">
        <f t="shared" si="12"/>
        <v>0</v>
      </c>
      <c r="V185" s="80"/>
      <c r="W185" s="81"/>
      <c r="X185" s="80"/>
      <c r="Y185" s="81"/>
      <c r="Z185" s="80"/>
      <c r="AA185" s="80"/>
      <c r="AB185" s="80"/>
      <c r="AC185" s="81"/>
      <c r="AD185" s="81"/>
      <c r="AE185" s="81"/>
      <c r="AF185" s="80"/>
      <c r="AG185" s="81"/>
    </row>
    <row r="186" spans="1:33">
      <c r="A186" s="135" t="s">
        <v>264</v>
      </c>
      <c r="B186" s="19" t="s">
        <v>288</v>
      </c>
      <c r="C186" s="18"/>
      <c r="D186" s="17">
        <v>157438</v>
      </c>
      <c r="E186" s="136">
        <v>12</v>
      </c>
      <c r="F186" s="78">
        <f t="shared" si="13"/>
        <v>69392</v>
      </c>
      <c r="G186" s="79">
        <f t="shared" si="14"/>
        <v>70387</v>
      </c>
      <c r="H186" s="80">
        <v>32873</v>
      </c>
      <c r="I186" s="81">
        <v>45629</v>
      </c>
      <c r="J186" s="80">
        <v>15393</v>
      </c>
      <c r="K186" s="81">
        <v>2535</v>
      </c>
      <c r="L186" s="80">
        <v>21126</v>
      </c>
      <c r="M186" s="80"/>
      <c r="N186" s="80"/>
      <c r="O186" s="81">
        <v>22223</v>
      </c>
      <c r="P186" s="81"/>
      <c r="Q186" s="81"/>
      <c r="R186" s="80"/>
      <c r="S186" s="81"/>
      <c r="T186" s="78">
        <f t="shared" si="15"/>
        <v>0</v>
      </c>
      <c r="U186" s="79">
        <f t="shared" si="12"/>
        <v>0</v>
      </c>
      <c r="V186" s="80"/>
      <c r="W186" s="81"/>
      <c r="X186" s="80"/>
      <c r="Y186" s="81"/>
      <c r="Z186" s="80"/>
      <c r="AA186" s="80"/>
      <c r="AB186" s="80"/>
      <c r="AC186" s="81"/>
      <c r="AD186" s="81"/>
      <c r="AE186" s="81"/>
      <c r="AF186" s="80"/>
      <c r="AG186" s="81"/>
    </row>
    <row r="187" spans="1:33">
      <c r="A187" s="135" t="s">
        <v>264</v>
      </c>
      <c r="B187" s="19" t="s">
        <v>289</v>
      </c>
      <c r="C187" s="18"/>
      <c r="D187" s="17">
        <v>156338</v>
      </c>
      <c r="E187" s="17">
        <v>12</v>
      </c>
      <c r="F187" s="78">
        <f t="shared" si="13"/>
        <v>76774</v>
      </c>
      <c r="G187" s="79">
        <f t="shared" si="14"/>
        <v>77806</v>
      </c>
      <c r="H187" s="80">
        <v>45447</v>
      </c>
      <c r="I187" s="81">
        <v>47783</v>
      </c>
      <c r="J187" s="80">
        <v>5504</v>
      </c>
      <c r="K187" s="81">
        <v>5360</v>
      </c>
      <c r="L187" s="80">
        <v>25823</v>
      </c>
      <c r="M187" s="80"/>
      <c r="N187" s="80"/>
      <c r="O187" s="81">
        <v>24663</v>
      </c>
      <c r="P187" s="81"/>
      <c r="Q187" s="81"/>
      <c r="R187" s="80"/>
      <c r="S187" s="81"/>
      <c r="T187" s="78">
        <f t="shared" si="15"/>
        <v>0</v>
      </c>
      <c r="U187" s="79">
        <f t="shared" si="12"/>
        <v>0</v>
      </c>
      <c r="V187" s="80"/>
      <c r="W187" s="81"/>
      <c r="X187" s="80"/>
      <c r="Y187" s="81"/>
      <c r="Z187" s="80"/>
      <c r="AA187" s="80"/>
      <c r="AB187" s="80"/>
      <c r="AC187" s="81"/>
      <c r="AD187" s="81"/>
      <c r="AE187" s="81"/>
      <c r="AF187" s="80"/>
      <c r="AG187" s="81"/>
    </row>
    <row r="188" spans="1:33" s="44" customFormat="1" ht="13.5" customHeight="1">
      <c r="A188" s="138" t="s">
        <v>291</v>
      </c>
      <c r="B188" s="139" t="s">
        <v>292</v>
      </c>
      <c r="C188" s="140"/>
      <c r="D188" s="141">
        <v>159391</v>
      </c>
      <c r="E188" s="141">
        <v>1</v>
      </c>
      <c r="F188" s="78">
        <f t="shared" si="13"/>
        <v>729887.99999999953</v>
      </c>
      <c r="G188" s="79">
        <f t="shared" si="14"/>
        <v>707259.00000000023</v>
      </c>
      <c r="H188" s="80">
        <v>713010.13612565398</v>
      </c>
      <c r="I188" s="142">
        <v>685405.49157303397</v>
      </c>
      <c r="J188" s="80"/>
      <c r="K188" s="81"/>
      <c r="L188" s="80">
        <v>16877.863874345599</v>
      </c>
      <c r="M188" s="80"/>
      <c r="N188" s="80"/>
      <c r="O188" s="142">
        <v>21853.508426966298</v>
      </c>
      <c r="P188" s="81"/>
      <c r="Q188" s="81"/>
      <c r="R188" s="80"/>
      <c r="S188" s="81"/>
      <c r="T188" s="78">
        <f t="shared" si="15"/>
        <v>129253.00000000031</v>
      </c>
      <c r="U188" s="79">
        <f t="shared" si="12"/>
        <v>133260.99999999953</v>
      </c>
      <c r="V188" s="80">
        <v>123683.86032197</v>
      </c>
      <c r="W188" s="143">
        <v>127476.066575822</v>
      </c>
      <c r="X188" s="80"/>
      <c r="Y188" s="81"/>
      <c r="Z188" s="80">
        <v>5569.1396780303003</v>
      </c>
      <c r="AA188" s="80"/>
      <c r="AB188" s="80"/>
      <c r="AC188" s="143">
        <v>5784.9334241775396</v>
      </c>
      <c r="AD188" s="81"/>
      <c r="AE188" s="81"/>
      <c r="AF188" s="80"/>
      <c r="AG188" s="81"/>
    </row>
    <row r="189" spans="1:33">
      <c r="A189" s="138" t="s">
        <v>291</v>
      </c>
      <c r="B189" s="139" t="s">
        <v>293</v>
      </c>
      <c r="C189" s="140"/>
      <c r="D189" s="141">
        <v>159647</v>
      </c>
      <c r="E189" s="141">
        <v>2</v>
      </c>
      <c r="F189" s="78">
        <f t="shared" si="13"/>
        <v>271398.00000000041</v>
      </c>
      <c r="G189" s="79">
        <f t="shared" si="14"/>
        <v>273755</v>
      </c>
      <c r="H189" s="80">
        <v>237323.023183121</v>
      </c>
      <c r="I189" s="142">
        <v>235104.339028777</v>
      </c>
      <c r="J189" s="80"/>
      <c r="K189" s="81"/>
      <c r="L189" s="80">
        <v>34074.976816879403</v>
      </c>
      <c r="M189" s="80"/>
      <c r="N189" s="80"/>
      <c r="O189" s="142">
        <v>38650.660971222998</v>
      </c>
      <c r="P189" s="81"/>
      <c r="Q189" s="81"/>
      <c r="R189" s="80"/>
      <c r="S189" s="81"/>
      <c r="T189" s="78">
        <f t="shared" si="15"/>
        <v>23923.999999999993</v>
      </c>
      <c r="U189" s="79">
        <f t="shared" si="12"/>
        <v>24664.999999999978</v>
      </c>
      <c r="V189" s="80">
        <v>19014.223880597001</v>
      </c>
      <c r="W189" s="143">
        <v>19296.589769307899</v>
      </c>
      <c r="X189" s="80"/>
      <c r="Y189" s="81"/>
      <c r="Z189" s="80">
        <v>4909.7761194029899</v>
      </c>
      <c r="AA189" s="80"/>
      <c r="AB189" s="80"/>
      <c r="AC189" s="143">
        <v>5368.4102306920804</v>
      </c>
      <c r="AD189" s="81"/>
      <c r="AE189" s="81"/>
      <c r="AF189" s="80"/>
      <c r="AG189" s="81"/>
    </row>
    <row r="190" spans="1:33">
      <c r="A190" s="138" t="s">
        <v>291</v>
      </c>
      <c r="B190" s="139" t="s">
        <v>294</v>
      </c>
      <c r="C190" s="140"/>
      <c r="D190" s="141">
        <v>160658</v>
      </c>
      <c r="E190" s="141">
        <v>2</v>
      </c>
      <c r="F190" s="78">
        <f t="shared" si="13"/>
        <v>417134.99999999983</v>
      </c>
      <c r="G190" s="79">
        <f t="shared" si="14"/>
        <v>409857.99999999948</v>
      </c>
      <c r="H190" s="80">
        <v>383342.97852298402</v>
      </c>
      <c r="I190" s="142">
        <v>370454.210864903</v>
      </c>
      <c r="J190" s="80"/>
      <c r="K190" s="81"/>
      <c r="L190" s="80">
        <v>33792.021477015798</v>
      </c>
      <c r="M190" s="80"/>
      <c r="N190" s="80"/>
      <c r="O190" s="142">
        <v>39403.7891350965</v>
      </c>
      <c r="P190" s="81"/>
      <c r="Q190" s="81"/>
      <c r="R190" s="80"/>
      <c r="S190" s="81"/>
      <c r="T190" s="78">
        <f t="shared" si="15"/>
        <v>27179.00000000004</v>
      </c>
      <c r="U190" s="79">
        <f t="shared" si="12"/>
        <v>27513.99999999996</v>
      </c>
      <c r="V190" s="80">
        <v>23943.4047619048</v>
      </c>
      <c r="W190" s="143">
        <v>24194.060331825</v>
      </c>
      <c r="X190" s="80"/>
      <c r="Y190" s="81"/>
      <c r="Z190" s="80">
        <v>3235.5952380952399</v>
      </c>
      <c r="AA190" s="80"/>
      <c r="AB190" s="80"/>
      <c r="AC190" s="143">
        <v>3319.9396681749599</v>
      </c>
      <c r="AD190" s="81"/>
      <c r="AE190" s="81"/>
      <c r="AF190" s="80"/>
      <c r="AG190" s="81"/>
    </row>
    <row r="191" spans="1:33">
      <c r="A191" s="138" t="s">
        <v>291</v>
      </c>
      <c r="B191" s="139" t="s">
        <v>295</v>
      </c>
      <c r="C191" s="140"/>
      <c r="D191" s="141">
        <v>159939</v>
      </c>
      <c r="E191" s="141">
        <v>2</v>
      </c>
      <c r="F191" s="78">
        <f t="shared" si="13"/>
        <v>163313.99999999971</v>
      </c>
      <c r="G191" s="79">
        <f t="shared" si="14"/>
        <v>162725.00000000009</v>
      </c>
      <c r="H191" s="80">
        <v>145521.03501945501</v>
      </c>
      <c r="I191" s="142">
        <v>137330.03787878799</v>
      </c>
      <c r="J191" s="80"/>
      <c r="K191" s="81"/>
      <c r="L191" s="80">
        <v>17792.964980544701</v>
      </c>
      <c r="M191" s="80"/>
      <c r="N191" s="80"/>
      <c r="O191" s="142">
        <v>25394.962121212098</v>
      </c>
      <c r="P191" s="81"/>
      <c r="Q191" s="81"/>
      <c r="R191" s="80"/>
      <c r="S191" s="81"/>
      <c r="T191" s="78">
        <f t="shared" si="15"/>
        <v>24158.999999999989</v>
      </c>
      <c r="U191" s="79">
        <f t="shared" si="12"/>
        <v>22356.999999999989</v>
      </c>
      <c r="V191" s="80">
        <v>21068.895348837199</v>
      </c>
      <c r="W191" s="143">
        <v>18514.701691896698</v>
      </c>
      <c r="X191" s="80"/>
      <c r="Y191" s="81"/>
      <c r="Z191" s="80">
        <v>3090.1046511627901</v>
      </c>
      <c r="AA191" s="80"/>
      <c r="AB191" s="80"/>
      <c r="AC191" s="143">
        <v>3842.2983081032899</v>
      </c>
      <c r="AD191" s="81"/>
      <c r="AE191" s="81"/>
      <c r="AF191" s="80"/>
      <c r="AG191" s="81"/>
    </row>
    <row r="192" spans="1:33">
      <c r="A192" s="138" t="s">
        <v>291</v>
      </c>
      <c r="B192" s="139" t="s">
        <v>296</v>
      </c>
      <c r="C192" s="140"/>
      <c r="D192" s="141">
        <v>160612</v>
      </c>
      <c r="E192" s="141">
        <v>3</v>
      </c>
      <c r="F192" s="78">
        <f t="shared" si="13"/>
        <v>315803.99999999988</v>
      </c>
      <c r="G192" s="79">
        <f t="shared" si="14"/>
        <v>320141.00000000023</v>
      </c>
      <c r="H192" s="80">
        <v>267954.909090909</v>
      </c>
      <c r="I192" s="142">
        <v>261977.517091596</v>
      </c>
      <c r="J192" s="80"/>
      <c r="K192" s="81"/>
      <c r="L192" s="80">
        <v>47849.090909090897</v>
      </c>
      <c r="M192" s="80"/>
      <c r="N192" s="80"/>
      <c r="O192" s="142">
        <v>58163.482908404199</v>
      </c>
      <c r="P192" s="81"/>
      <c r="Q192" s="81"/>
      <c r="R192" s="80"/>
      <c r="S192" s="81"/>
      <c r="T192" s="78">
        <f t="shared" si="15"/>
        <v>16044.999999999989</v>
      </c>
      <c r="U192" s="79">
        <f t="shared" si="12"/>
        <v>16179.000000000011</v>
      </c>
      <c r="V192" s="80">
        <v>11178.7052932761</v>
      </c>
      <c r="W192" s="143">
        <v>10754.388042204</v>
      </c>
      <c r="X192" s="80"/>
      <c r="Y192" s="81"/>
      <c r="Z192" s="80">
        <v>4866.2947067238902</v>
      </c>
      <c r="AA192" s="80"/>
      <c r="AB192" s="80"/>
      <c r="AC192" s="143">
        <v>5424.6119577960098</v>
      </c>
      <c r="AD192" s="81"/>
      <c r="AE192" s="81"/>
      <c r="AF192" s="80"/>
      <c r="AG192" s="81"/>
    </row>
    <row r="193" spans="1:33">
      <c r="A193" s="138" t="s">
        <v>291</v>
      </c>
      <c r="B193" s="139" t="s">
        <v>297</v>
      </c>
      <c r="C193" s="140"/>
      <c r="D193" s="141">
        <v>160621</v>
      </c>
      <c r="E193" s="141">
        <v>3</v>
      </c>
      <c r="F193" s="78">
        <f t="shared" si="13"/>
        <v>145458.00000000003</v>
      </c>
      <c r="G193" s="79">
        <f t="shared" si="14"/>
        <v>147575.99999999991</v>
      </c>
      <c r="H193" s="80">
        <v>138545.99243061399</v>
      </c>
      <c r="I193" s="142">
        <v>136587.466865227</v>
      </c>
      <c r="J193" s="80"/>
      <c r="K193" s="81"/>
      <c r="L193" s="80">
        <v>6912.0075693860399</v>
      </c>
      <c r="M193" s="80"/>
      <c r="N193" s="80"/>
      <c r="O193" s="142">
        <v>10988.533134772901</v>
      </c>
      <c r="P193" s="81"/>
      <c r="Q193" s="81"/>
      <c r="R193" s="80"/>
      <c r="S193" s="81"/>
      <c r="T193" s="78">
        <f t="shared" si="15"/>
        <v>33815.000000000022</v>
      </c>
      <c r="U193" s="79">
        <f t="shared" si="12"/>
        <v>18602.00000000004</v>
      </c>
      <c r="V193" s="80">
        <v>31825.8823529412</v>
      </c>
      <c r="W193" s="143">
        <v>16516.466494845401</v>
      </c>
      <c r="X193" s="80"/>
      <c r="Y193" s="81"/>
      <c r="Z193" s="80">
        <v>1989.11764705882</v>
      </c>
      <c r="AA193" s="80"/>
      <c r="AB193" s="80"/>
      <c r="AC193" s="143">
        <v>2085.5335051546399</v>
      </c>
      <c r="AD193" s="81"/>
      <c r="AE193" s="81"/>
      <c r="AF193" s="80"/>
      <c r="AG193" s="81"/>
    </row>
    <row r="194" spans="1:33">
      <c r="A194" s="138" t="s">
        <v>291</v>
      </c>
      <c r="B194" s="139" t="s">
        <v>298</v>
      </c>
      <c r="C194" s="140"/>
      <c r="D194" s="141">
        <v>159993</v>
      </c>
      <c r="E194" s="141">
        <v>3</v>
      </c>
      <c r="F194" s="78">
        <f t="shared" si="13"/>
        <v>193312.99999999988</v>
      </c>
      <c r="G194" s="79">
        <f t="shared" si="14"/>
        <v>193176.00000000029</v>
      </c>
      <c r="H194" s="80">
        <v>166875.728063241</v>
      </c>
      <c r="I194" s="142">
        <v>140479.029432879</v>
      </c>
      <c r="J194" s="80"/>
      <c r="K194" s="81"/>
      <c r="L194" s="80">
        <v>26437.271936758902</v>
      </c>
      <c r="M194" s="80"/>
      <c r="N194" s="80"/>
      <c r="O194" s="142">
        <v>52696.970567121301</v>
      </c>
      <c r="P194" s="81"/>
      <c r="Q194" s="81"/>
      <c r="R194" s="80"/>
      <c r="S194" s="81"/>
      <c r="T194" s="78">
        <f t="shared" si="15"/>
        <v>33259</v>
      </c>
      <c r="U194" s="79">
        <f t="shared" si="12"/>
        <v>32060</v>
      </c>
      <c r="V194" s="80">
        <v>17800.591549295801</v>
      </c>
      <c r="W194" s="143">
        <v>15070.4577464789</v>
      </c>
      <c r="X194" s="80"/>
      <c r="Y194" s="81"/>
      <c r="Z194" s="80">
        <v>15458.408450704201</v>
      </c>
      <c r="AA194" s="80"/>
      <c r="AB194" s="80"/>
      <c r="AC194" s="143">
        <v>16989.5422535211</v>
      </c>
      <c r="AD194" s="81"/>
      <c r="AE194" s="81"/>
      <c r="AF194" s="80"/>
      <c r="AG194" s="81"/>
    </row>
    <row r="195" spans="1:33">
      <c r="A195" s="138" t="s">
        <v>291</v>
      </c>
      <c r="B195" s="139" t="s">
        <v>299</v>
      </c>
      <c r="C195" s="140"/>
      <c r="D195" s="141">
        <v>159009</v>
      </c>
      <c r="E195" s="141">
        <v>4</v>
      </c>
      <c r="F195" s="78">
        <f t="shared" si="13"/>
        <v>113092.0000000002</v>
      </c>
      <c r="G195" s="79">
        <f t="shared" si="14"/>
        <v>117072.0000000002</v>
      </c>
      <c r="H195" s="80">
        <v>100670.169811321</v>
      </c>
      <c r="I195" s="142">
        <v>102047.08013937301</v>
      </c>
      <c r="J195" s="80"/>
      <c r="K195" s="81"/>
      <c r="L195" s="80">
        <v>12421.8301886792</v>
      </c>
      <c r="M195" s="80"/>
      <c r="N195" s="80"/>
      <c r="O195" s="142">
        <v>15024.9198606272</v>
      </c>
      <c r="P195" s="81"/>
      <c r="Q195" s="81"/>
      <c r="R195" s="80"/>
      <c r="S195" s="81"/>
      <c r="T195" s="78">
        <f t="shared" si="15"/>
        <v>17626</v>
      </c>
      <c r="U195" s="79">
        <f t="shared" si="12"/>
        <v>19303.000000000051</v>
      </c>
      <c r="V195" s="80">
        <v>9638.1872659176006</v>
      </c>
      <c r="W195" s="143">
        <v>11789.8562874252</v>
      </c>
      <c r="X195" s="80"/>
      <c r="Y195" s="81"/>
      <c r="Z195" s="80">
        <v>7987.8127340824003</v>
      </c>
      <c r="AA195" s="80"/>
      <c r="AB195" s="80"/>
      <c r="AC195" s="143">
        <v>7513.1437125748498</v>
      </c>
      <c r="AD195" s="81"/>
      <c r="AE195" s="81"/>
      <c r="AF195" s="80"/>
      <c r="AG195" s="81"/>
    </row>
    <row r="196" spans="1:33">
      <c r="A196" s="138" t="s">
        <v>291</v>
      </c>
      <c r="B196" s="139" t="s">
        <v>300</v>
      </c>
      <c r="C196" s="140"/>
      <c r="D196" s="141">
        <v>159416</v>
      </c>
      <c r="E196" s="141">
        <v>4</v>
      </c>
      <c r="F196" s="78">
        <f t="shared" si="13"/>
        <v>58792</v>
      </c>
      <c r="G196" s="79">
        <f t="shared" si="14"/>
        <v>58511</v>
      </c>
      <c r="H196" s="80">
        <v>47502.627087198503</v>
      </c>
      <c r="I196" s="142">
        <v>44531.770935960601</v>
      </c>
      <c r="J196" s="80"/>
      <c r="K196" s="81"/>
      <c r="L196" s="80">
        <v>11289.3729128015</v>
      </c>
      <c r="M196" s="80"/>
      <c r="N196" s="80"/>
      <c r="O196" s="142">
        <v>13979.2290640394</v>
      </c>
      <c r="P196" s="81"/>
      <c r="Q196" s="81"/>
      <c r="R196" s="80"/>
      <c r="S196" s="81"/>
      <c r="T196" s="78">
        <f t="shared" si="15"/>
        <v>34492</v>
      </c>
      <c r="U196" s="79">
        <f t="shared" si="12"/>
        <v>47341</v>
      </c>
      <c r="V196" s="80">
        <v>16560.0795454545</v>
      </c>
      <c r="W196" s="143">
        <v>20514.433333333302</v>
      </c>
      <c r="X196" s="80"/>
      <c r="Y196" s="81"/>
      <c r="Z196" s="80">
        <v>17931.9204545455</v>
      </c>
      <c r="AA196" s="80"/>
      <c r="AB196" s="80"/>
      <c r="AC196" s="143">
        <v>26826.566666666698</v>
      </c>
      <c r="AD196" s="81"/>
      <c r="AE196" s="81"/>
      <c r="AF196" s="80"/>
      <c r="AG196" s="81"/>
    </row>
    <row r="197" spans="1:33">
      <c r="A197" s="138" t="s">
        <v>291</v>
      </c>
      <c r="B197" s="139" t="s">
        <v>301</v>
      </c>
      <c r="C197" s="145" t="s">
        <v>323</v>
      </c>
      <c r="D197" s="141">
        <v>159717</v>
      </c>
      <c r="E197" s="153">
        <v>3</v>
      </c>
      <c r="F197" s="78">
        <f t="shared" si="13"/>
        <v>182177.99999999959</v>
      </c>
      <c r="G197" s="79">
        <f t="shared" si="14"/>
        <v>183652</v>
      </c>
      <c r="H197" s="80">
        <v>146988.288104765</v>
      </c>
      <c r="I197" s="142">
        <v>139644.35876840699</v>
      </c>
      <c r="J197" s="80"/>
      <c r="K197" s="81"/>
      <c r="L197" s="80">
        <v>35189.711895234599</v>
      </c>
      <c r="M197" s="80"/>
      <c r="N197" s="80"/>
      <c r="O197" s="142">
        <v>44007.641231592999</v>
      </c>
      <c r="P197" s="81"/>
      <c r="Q197" s="81"/>
      <c r="R197" s="80"/>
      <c r="S197" s="81"/>
      <c r="T197" s="78">
        <f t="shared" si="15"/>
        <v>11486</v>
      </c>
      <c r="U197" s="79">
        <f t="shared" si="12"/>
        <v>11668</v>
      </c>
      <c r="V197" s="80">
        <v>6498.2828784119101</v>
      </c>
      <c r="W197" s="143">
        <v>5727.0631364562096</v>
      </c>
      <c r="X197" s="80"/>
      <c r="Y197" s="81"/>
      <c r="Z197" s="80">
        <v>4987.7171215880899</v>
      </c>
      <c r="AA197" s="80"/>
      <c r="AB197" s="80"/>
      <c r="AC197" s="143">
        <v>5940.9368635437904</v>
      </c>
      <c r="AD197" s="81"/>
      <c r="AE197" s="81"/>
      <c r="AF197" s="80"/>
      <c r="AG197" s="81"/>
    </row>
    <row r="198" spans="1:33">
      <c r="A198" s="138" t="s">
        <v>291</v>
      </c>
      <c r="B198" s="139" t="s">
        <v>302</v>
      </c>
      <c r="C198" s="140"/>
      <c r="D198" s="141">
        <v>159966</v>
      </c>
      <c r="E198" s="141">
        <v>4</v>
      </c>
      <c r="F198" s="78">
        <f t="shared" si="13"/>
        <v>149644</v>
      </c>
      <c r="G198" s="79">
        <f t="shared" si="14"/>
        <v>150856.99999999988</v>
      </c>
      <c r="H198" s="80">
        <v>106916.7</v>
      </c>
      <c r="I198" s="142">
        <v>102052.06556733399</v>
      </c>
      <c r="J198" s="80"/>
      <c r="K198" s="81"/>
      <c r="L198" s="80">
        <v>42727.3</v>
      </c>
      <c r="M198" s="80"/>
      <c r="N198" s="80"/>
      <c r="O198" s="142">
        <v>48804.934432665897</v>
      </c>
      <c r="P198" s="81"/>
      <c r="Q198" s="81"/>
      <c r="R198" s="80"/>
      <c r="S198" s="81"/>
      <c r="T198" s="78">
        <f t="shared" si="15"/>
        <v>10735</v>
      </c>
      <c r="U198" s="79">
        <f t="shared" si="12"/>
        <v>10532</v>
      </c>
      <c r="V198" s="80">
        <v>5428.2641509433997</v>
      </c>
      <c r="W198" s="143">
        <v>4855.8753894081001</v>
      </c>
      <c r="X198" s="80"/>
      <c r="Y198" s="81"/>
      <c r="Z198" s="80">
        <v>5306.7358490566003</v>
      </c>
      <c r="AA198" s="80"/>
      <c r="AB198" s="80"/>
      <c r="AC198" s="143">
        <v>5676.1246105918999</v>
      </c>
      <c r="AD198" s="81"/>
      <c r="AE198" s="81"/>
      <c r="AF198" s="80"/>
      <c r="AG198" s="81"/>
    </row>
    <row r="199" spans="1:33">
      <c r="A199" s="138" t="s">
        <v>291</v>
      </c>
      <c r="B199" s="139" t="s">
        <v>303</v>
      </c>
      <c r="C199" s="140"/>
      <c r="D199" s="141">
        <v>160038</v>
      </c>
      <c r="E199" s="141">
        <v>4</v>
      </c>
      <c r="F199" s="78">
        <f t="shared" si="13"/>
        <v>216645.99999999988</v>
      </c>
      <c r="G199" s="79">
        <f t="shared" si="14"/>
        <v>226744</v>
      </c>
      <c r="H199" s="80">
        <v>156173.154567372</v>
      </c>
      <c r="I199" s="142">
        <v>145873.044649185</v>
      </c>
      <c r="J199" s="80"/>
      <c r="K199" s="81"/>
      <c r="L199" s="80">
        <v>60472.845432627902</v>
      </c>
      <c r="M199" s="80"/>
      <c r="N199" s="80"/>
      <c r="O199" s="142">
        <v>80870.955350814998</v>
      </c>
      <c r="P199" s="81"/>
      <c r="Q199" s="81"/>
      <c r="R199" s="80"/>
      <c r="S199" s="81"/>
      <c r="T199" s="78">
        <f t="shared" si="15"/>
        <v>17411.000000000007</v>
      </c>
      <c r="U199" s="79">
        <f t="shared" si="12"/>
        <v>15622</v>
      </c>
      <c r="V199" s="80">
        <v>5327.9562841530096</v>
      </c>
      <c r="W199" s="143">
        <v>3852</v>
      </c>
      <c r="X199" s="80"/>
      <c r="Y199" s="81"/>
      <c r="Z199" s="80">
        <v>12083.043715846999</v>
      </c>
      <c r="AA199" s="80"/>
      <c r="AB199" s="80"/>
      <c r="AC199" s="143">
        <v>11770</v>
      </c>
      <c r="AD199" s="81"/>
      <c r="AE199" s="81"/>
      <c r="AF199" s="80"/>
      <c r="AG199" s="81"/>
    </row>
    <row r="200" spans="1:33">
      <c r="A200" s="144" t="s">
        <v>291</v>
      </c>
      <c r="B200" s="139" t="s">
        <v>304</v>
      </c>
      <c r="C200" s="145"/>
      <c r="D200" s="141">
        <v>160630</v>
      </c>
      <c r="E200" s="146">
        <v>5</v>
      </c>
      <c r="F200" s="78">
        <f t="shared" si="13"/>
        <v>47287.999999999971</v>
      </c>
      <c r="G200" s="79">
        <f t="shared" si="14"/>
        <v>49569.999999999964</v>
      </c>
      <c r="H200" s="80">
        <v>41457.972602739697</v>
      </c>
      <c r="I200" s="142">
        <v>43476.517073170697</v>
      </c>
      <c r="J200" s="80"/>
      <c r="K200" s="81"/>
      <c r="L200" s="80">
        <v>5830.0273972602699</v>
      </c>
      <c r="M200" s="80"/>
      <c r="N200" s="80"/>
      <c r="O200" s="142">
        <v>6093.4829268292697</v>
      </c>
      <c r="P200" s="81"/>
      <c r="Q200" s="81"/>
      <c r="R200" s="80"/>
      <c r="S200" s="81"/>
      <c r="T200" s="78">
        <f t="shared" si="15"/>
        <v>9974</v>
      </c>
      <c r="U200" s="79">
        <f t="shared" si="12"/>
        <v>9558</v>
      </c>
      <c r="V200" s="80">
        <v>8216.9222797927505</v>
      </c>
      <c r="W200" s="143">
        <v>8230.5</v>
      </c>
      <c r="X200" s="80"/>
      <c r="Y200" s="81"/>
      <c r="Z200" s="80">
        <v>1757.07772020725</v>
      </c>
      <c r="AA200" s="80"/>
      <c r="AB200" s="80"/>
      <c r="AC200" s="143">
        <v>1327.5</v>
      </c>
      <c r="AD200" s="81"/>
      <c r="AE200" s="81"/>
      <c r="AF200" s="80"/>
      <c r="AG200" s="81"/>
    </row>
    <row r="201" spans="1:33">
      <c r="A201" s="138" t="s">
        <v>291</v>
      </c>
      <c r="B201" s="139" t="s">
        <v>305</v>
      </c>
      <c r="C201" s="145"/>
      <c r="D201" s="141">
        <v>159382</v>
      </c>
      <c r="E201" s="141">
        <v>6</v>
      </c>
      <c r="F201" s="78">
        <f t="shared" si="13"/>
        <v>69103</v>
      </c>
      <c r="G201" s="79">
        <f t="shared" si="14"/>
        <v>72677</v>
      </c>
      <c r="H201" s="80">
        <v>51491.021316033402</v>
      </c>
      <c r="I201" s="142">
        <v>46862.1296</v>
      </c>
      <c r="J201" s="80"/>
      <c r="K201" s="81"/>
      <c r="L201" s="80">
        <v>17611.978683966601</v>
      </c>
      <c r="M201" s="80"/>
      <c r="N201" s="80"/>
      <c r="O201" s="142">
        <v>25814.8704</v>
      </c>
      <c r="P201" s="81"/>
      <c r="Q201" s="81"/>
      <c r="R201" s="80"/>
      <c r="S201" s="81"/>
      <c r="T201" s="78">
        <f t="shared" si="15"/>
        <v>0</v>
      </c>
      <c r="U201" s="79">
        <f t="shared" si="12"/>
        <v>0</v>
      </c>
      <c r="V201" s="80"/>
      <c r="W201" s="81"/>
      <c r="X201" s="80"/>
      <c r="Y201" s="81"/>
      <c r="Z201" s="80"/>
      <c r="AA201" s="80"/>
      <c r="AB201" s="80"/>
      <c r="AC201" s="81"/>
      <c r="AD201" s="81"/>
      <c r="AE201" s="81"/>
      <c r="AF201" s="80"/>
      <c r="AG201" s="81"/>
    </row>
    <row r="202" spans="1:33">
      <c r="A202" s="138" t="s">
        <v>291</v>
      </c>
      <c r="B202" s="147" t="s">
        <v>306</v>
      </c>
      <c r="C202" s="148"/>
      <c r="D202" s="141">
        <v>437103</v>
      </c>
      <c r="E202" s="149">
        <v>8</v>
      </c>
      <c r="F202" s="78">
        <f t="shared" si="13"/>
        <v>165845.00000000049</v>
      </c>
      <c r="G202" s="79">
        <f t="shared" si="14"/>
        <v>161547.99999999959</v>
      </c>
      <c r="H202" s="80">
        <v>152579.480865747</v>
      </c>
      <c r="I202" s="142">
        <v>140612.93079096</v>
      </c>
      <c r="J202" s="80"/>
      <c r="K202" s="81"/>
      <c r="L202" s="80">
        <v>13265.5191342535</v>
      </c>
      <c r="M202" s="80"/>
      <c r="N202" s="80"/>
      <c r="O202" s="142">
        <v>20935.069209039601</v>
      </c>
      <c r="P202" s="81"/>
      <c r="Q202" s="81"/>
      <c r="R202" s="80"/>
      <c r="S202" s="81"/>
      <c r="T202" s="78">
        <f t="shared" si="15"/>
        <v>0</v>
      </c>
      <c r="U202" s="79">
        <f t="shared" si="12"/>
        <v>0</v>
      </c>
      <c r="V202" s="80"/>
      <c r="W202" s="81"/>
      <c r="X202" s="80"/>
      <c r="Y202" s="81"/>
      <c r="Z202" s="80"/>
      <c r="AA202" s="80"/>
      <c r="AB202" s="80"/>
      <c r="AC202" s="81"/>
      <c r="AD202" s="81"/>
      <c r="AE202" s="81"/>
      <c r="AF202" s="80"/>
      <c r="AG202" s="81"/>
    </row>
    <row r="203" spans="1:33">
      <c r="A203" s="138" t="s">
        <v>291</v>
      </c>
      <c r="B203" s="139" t="s">
        <v>307</v>
      </c>
      <c r="C203" s="140" t="s">
        <v>324</v>
      </c>
      <c r="D203" s="141">
        <v>158431</v>
      </c>
      <c r="E203" s="141">
        <v>8</v>
      </c>
      <c r="F203" s="78">
        <f t="shared" si="13"/>
        <v>134689</v>
      </c>
      <c r="G203" s="79">
        <f t="shared" si="14"/>
        <v>136287</v>
      </c>
      <c r="H203" s="80">
        <v>97227.361146769399</v>
      </c>
      <c r="I203" s="142">
        <v>92358.877518130495</v>
      </c>
      <c r="J203" s="80"/>
      <c r="K203" s="81"/>
      <c r="L203" s="80">
        <v>37461.638853230601</v>
      </c>
      <c r="M203" s="80"/>
      <c r="N203" s="80"/>
      <c r="O203" s="142">
        <v>43928.122481869497</v>
      </c>
      <c r="P203" s="81"/>
      <c r="Q203" s="81"/>
      <c r="R203" s="80"/>
      <c r="S203" s="81"/>
      <c r="T203" s="78">
        <f t="shared" si="15"/>
        <v>0</v>
      </c>
      <c r="U203" s="79">
        <f t="shared" si="12"/>
        <v>0</v>
      </c>
      <c r="V203" s="80"/>
      <c r="W203" s="81"/>
      <c r="X203" s="80"/>
      <c r="Y203" s="81"/>
      <c r="Z203" s="80"/>
      <c r="AA203" s="80"/>
      <c r="AB203" s="80"/>
      <c r="AC203" s="81"/>
      <c r="AD203" s="81"/>
      <c r="AE203" s="81"/>
      <c r="AF203" s="80"/>
      <c r="AG203" s="81"/>
    </row>
    <row r="204" spans="1:33">
      <c r="A204" s="138" t="s">
        <v>291</v>
      </c>
      <c r="B204" s="147" t="s">
        <v>308</v>
      </c>
      <c r="C204" s="148"/>
      <c r="D204" s="141">
        <v>158662</v>
      </c>
      <c r="E204" s="150">
        <v>8</v>
      </c>
      <c r="F204" s="78">
        <f t="shared" si="13"/>
        <v>288321.00000000012</v>
      </c>
      <c r="G204" s="79">
        <f t="shared" si="14"/>
        <v>278208.00000000041</v>
      </c>
      <c r="H204" s="80">
        <v>247314.43994339299</v>
      </c>
      <c r="I204" s="142">
        <v>228557.99798725301</v>
      </c>
      <c r="J204" s="80"/>
      <c r="K204" s="81"/>
      <c r="L204" s="80">
        <v>41006.560056607101</v>
      </c>
      <c r="M204" s="80"/>
      <c r="N204" s="80"/>
      <c r="O204" s="142">
        <v>49650.002012747398</v>
      </c>
      <c r="P204" s="81"/>
      <c r="Q204" s="81"/>
      <c r="R204" s="80"/>
      <c r="S204" s="81"/>
      <c r="T204" s="78">
        <f t="shared" si="15"/>
        <v>0</v>
      </c>
      <c r="U204" s="79">
        <f t="shared" si="12"/>
        <v>0</v>
      </c>
      <c r="V204" s="80"/>
      <c r="W204" s="81"/>
      <c r="X204" s="80"/>
      <c r="Y204" s="81"/>
      <c r="Z204" s="80"/>
      <c r="AA204" s="80"/>
      <c r="AB204" s="80"/>
      <c r="AC204" s="81"/>
      <c r="AD204" s="81"/>
      <c r="AE204" s="81"/>
      <c r="AF204" s="80"/>
      <c r="AG204" s="81"/>
    </row>
    <row r="205" spans="1:33">
      <c r="A205" s="138" t="s">
        <v>291</v>
      </c>
      <c r="B205" s="139" t="s">
        <v>309</v>
      </c>
      <c r="C205" s="145"/>
      <c r="D205" s="141">
        <v>440624</v>
      </c>
      <c r="E205" s="141">
        <v>9</v>
      </c>
      <c r="F205" s="78">
        <f t="shared" si="13"/>
        <v>69170</v>
      </c>
      <c r="G205" s="79">
        <f t="shared" si="14"/>
        <v>73594</v>
      </c>
      <c r="H205" s="80">
        <v>57697.902439024401</v>
      </c>
      <c r="I205" s="142">
        <v>55535.679097461601</v>
      </c>
      <c r="J205" s="80"/>
      <c r="K205" s="81"/>
      <c r="L205" s="80">
        <v>11472.097560975601</v>
      </c>
      <c r="M205" s="80"/>
      <c r="N205" s="80"/>
      <c r="O205" s="142">
        <v>18058.320902538399</v>
      </c>
      <c r="P205" s="81"/>
      <c r="Q205" s="81"/>
      <c r="R205" s="80"/>
      <c r="S205" s="81"/>
      <c r="T205" s="78">
        <f t="shared" si="15"/>
        <v>0</v>
      </c>
      <c r="U205" s="79">
        <f t="shared" si="12"/>
        <v>0</v>
      </c>
      <c r="V205" s="80"/>
      <c r="W205" s="81"/>
      <c r="X205" s="80"/>
      <c r="Y205" s="81"/>
      <c r="Z205" s="80"/>
      <c r="AA205" s="80"/>
      <c r="AB205" s="80"/>
      <c r="AC205" s="81"/>
      <c r="AD205" s="81"/>
      <c r="AE205" s="81"/>
      <c r="AF205" s="80"/>
      <c r="AG205" s="81"/>
    </row>
    <row r="206" spans="1:33">
      <c r="A206" s="138" t="s">
        <v>291</v>
      </c>
      <c r="B206" s="139" t="s">
        <v>310</v>
      </c>
      <c r="C206" s="148"/>
      <c r="D206" s="141">
        <v>434061</v>
      </c>
      <c r="E206" s="149">
        <v>9</v>
      </c>
      <c r="F206" s="78">
        <f t="shared" si="13"/>
        <v>134865.0000000002</v>
      </c>
      <c r="G206" s="79">
        <f t="shared" si="14"/>
        <v>136495.50000000029</v>
      </c>
      <c r="H206" s="80">
        <v>121743.55847803901</v>
      </c>
      <c r="I206" s="142">
        <v>121005.602674953</v>
      </c>
      <c r="J206" s="80"/>
      <c r="K206" s="81"/>
      <c r="L206" s="80">
        <v>13121.4415219612</v>
      </c>
      <c r="M206" s="80"/>
      <c r="N206" s="80"/>
      <c r="O206" s="142">
        <v>15489.897325047299</v>
      </c>
      <c r="P206" s="81"/>
      <c r="Q206" s="81"/>
      <c r="R206" s="80"/>
      <c r="S206" s="81"/>
      <c r="T206" s="78">
        <f t="shared" si="15"/>
        <v>0</v>
      </c>
      <c r="U206" s="79">
        <f t="shared" ref="U206:U269" si="16">SUM(W206,Y206,AC206,AD206,AE206,AG206)</f>
        <v>0</v>
      </c>
      <c r="V206" s="80"/>
      <c r="W206" s="81"/>
      <c r="X206" s="80"/>
      <c r="Y206" s="81"/>
      <c r="Z206" s="80"/>
      <c r="AA206" s="80"/>
      <c r="AB206" s="80"/>
      <c r="AC206" s="81"/>
      <c r="AD206" s="81"/>
      <c r="AE206" s="81"/>
      <c r="AF206" s="80"/>
      <c r="AG206" s="81"/>
    </row>
    <row r="207" spans="1:33">
      <c r="A207" s="138" t="s">
        <v>291</v>
      </c>
      <c r="B207" s="139" t="s">
        <v>311</v>
      </c>
      <c r="C207" s="145"/>
      <c r="D207" s="141">
        <v>160649</v>
      </c>
      <c r="E207" s="141">
        <v>9</v>
      </c>
      <c r="F207" s="78">
        <f t="shared" si="13"/>
        <v>66229.999999999971</v>
      </c>
      <c r="G207" s="79">
        <f t="shared" si="14"/>
        <v>66609</v>
      </c>
      <c r="H207" s="80">
        <v>59843.307618129198</v>
      </c>
      <c r="I207" s="142">
        <v>56097.802744425397</v>
      </c>
      <c r="J207" s="80"/>
      <c r="K207" s="81"/>
      <c r="L207" s="80">
        <v>6386.6923818707801</v>
      </c>
      <c r="M207" s="80"/>
      <c r="N207" s="80"/>
      <c r="O207" s="142">
        <v>10511.1972555746</v>
      </c>
      <c r="P207" s="81"/>
      <c r="Q207" s="81"/>
      <c r="R207" s="80"/>
      <c r="S207" s="81"/>
      <c r="T207" s="78">
        <f t="shared" si="15"/>
        <v>0</v>
      </c>
      <c r="U207" s="79">
        <f t="shared" si="16"/>
        <v>0</v>
      </c>
      <c r="V207" s="80"/>
      <c r="W207" s="81"/>
      <c r="X207" s="80"/>
      <c r="Y207" s="81"/>
      <c r="Z207" s="80"/>
      <c r="AA207" s="80"/>
      <c r="AB207" s="80"/>
      <c r="AC207" s="81"/>
      <c r="AD207" s="81"/>
      <c r="AE207" s="81"/>
      <c r="AF207" s="80"/>
      <c r="AG207" s="81"/>
    </row>
    <row r="208" spans="1:33">
      <c r="A208" s="138" t="s">
        <v>291</v>
      </c>
      <c r="B208" s="139" t="s">
        <v>312</v>
      </c>
      <c r="C208" s="145"/>
      <c r="D208" s="141">
        <v>159407</v>
      </c>
      <c r="E208" s="141">
        <v>10</v>
      </c>
      <c r="F208" s="78">
        <f t="shared" si="13"/>
        <v>58029</v>
      </c>
      <c r="G208" s="79">
        <f t="shared" si="14"/>
        <v>59060</v>
      </c>
      <c r="H208" s="80">
        <v>42147.378947368401</v>
      </c>
      <c r="I208" s="142">
        <v>40297.047898338198</v>
      </c>
      <c r="J208" s="80"/>
      <c r="K208" s="81"/>
      <c r="L208" s="80">
        <v>15881.621052631601</v>
      </c>
      <c r="M208" s="80"/>
      <c r="N208" s="80"/>
      <c r="O208" s="142">
        <v>18762.952101661798</v>
      </c>
      <c r="P208" s="81"/>
      <c r="Q208" s="81"/>
      <c r="R208" s="80"/>
      <c r="S208" s="81"/>
      <c r="T208" s="78">
        <f t="shared" si="15"/>
        <v>0</v>
      </c>
      <c r="U208" s="79">
        <f t="shared" si="16"/>
        <v>0</v>
      </c>
      <c r="V208" s="80"/>
      <c r="W208" s="81"/>
      <c r="X208" s="80"/>
      <c r="Y208" s="81"/>
      <c r="Z208" s="80"/>
      <c r="AA208" s="80"/>
      <c r="AB208" s="80"/>
      <c r="AC208" s="81"/>
      <c r="AD208" s="81"/>
      <c r="AE208" s="81"/>
      <c r="AF208" s="80"/>
      <c r="AG208" s="81"/>
    </row>
    <row r="209" spans="1:33">
      <c r="A209" s="138" t="s">
        <v>291</v>
      </c>
      <c r="B209" s="139" t="s">
        <v>313</v>
      </c>
      <c r="C209" s="140"/>
      <c r="D209" s="141">
        <v>158884</v>
      </c>
      <c r="E209" s="141">
        <v>10</v>
      </c>
      <c r="F209" s="78">
        <f t="shared" si="13"/>
        <v>41122</v>
      </c>
      <c r="G209" s="79">
        <f t="shared" si="14"/>
        <v>47593</v>
      </c>
      <c r="H209" s="80">
        <v>29616.828415300501</v>
      </c>
      <c r="I209" s="142">
        <v>30979.907571288099</v>
      </c>
      <c r="J209" s="80"/>
      <c r="K209" s="81"/>
      <c r="L209" s="80">
        <v>11505.171584699499</v>
      </c>
      <c r="M209" s="80"/>
      <c r="N209" s="80"/>
      <c r="O209" s="142">
        <v>16613.092428711901</v>
      </c>
      <c r="P209" s="81"/>
      <c r="Q209" s="81"/>
      <c r="R209" s="80"/>
      <c r="S209" s="81"/>
      <c r="T209" s="78">
        <f t="shared" si="15"/>
        <v>0</v>
      </c>
      <c r="U209" s="79">
        <f t="shared" si="16"/>
        <v>0</v>
      </c>
      <c r="V209" s="80"/>
      <c r="W209" s="81"/>
      <c r="X209" s="80"/>
      <c r="Y209" s="81"/>
      <c r="Z209" s="80"/>
      <c r="AA209" s="80"/>
      <c r="AB209" s="80"/>
      <c r="AC209" s="81"/>
      <c r="AD209" s="81"/>
      <c r="AE209" s="81"/>
      <c r="AF209" s="80"/>
      <c r="AG209" s="81"/>
    </row>
    <row r="210" spans="1:33">
      <c r="A210" s="144" t="s">
        <v>291</v>
      </c>
      <c r="B210" s="147" t="s">
        <v>314</v>
      </c>
      <c r="C210" s="148"/>
      <c r="D210" s="141">
        <v>436304</v>
      </c>
      <c r="E210" s="141">
        <v>10</v>
      </c>
      <c r="F210" s="78">
        <f t="shared" si="13"/>
        <v>36616.500000000022</v>
      </c>
      <c r="G210" s="79">
        <f t="shared" si="14"/>
        <v>41113</v>
      </c>
      <c r="H210" s="80">
        <v>31171.2541729894</v>
      </c>
      <c r="I210" s="142">
        <v>33924.689308176101</v>
      </c>
      <c r="J210" s="80"/>
      <c r="K210" s="81"/>
      <c r="L210" s="80">
        <v>5445.2458270106199</v>
      </c>
      <c r="M210" s="80"/>
      <c r="N210" s="80"/>
      <c r="O210" s="142">
        <v>7188.3106918239</v>
      </c>
      <c r="P210" s="81"/>
      <c r="Q210" s="81"/>
      <c r="R210" s="80"/>
      <c r="S210" s="81"/>
      <c r="T210" s="78">
        <f t="shared" si="15"/>
        <v>0</v>
      </c>
      <c r="U210" s="79">
        <f t="shared" si="16"/>
        <v>0</v>
      </c>
      <c r="V210" s="80"/>
      <c r="W210" s="81"/>
      <c r="X210" s="80"/>
      <c r="Y210" s="81"/>
      <c r="Z210" s="80"/>
      <c r="AA210" s="80"/>
      <c r="AB210" s="80"/>
      <c r="AC210" s="81"/>
      <c r="AD210" s="81"/>
      <c r="AE210" s="81"/>
      <c r="AF210" s="80"/>
      <c r="AG210" s="81"/>
    </row>
    <row r="211" spans="1:33">
      <c r="A211" s="144" t="s">
        <v>291</v>
      </c>
      <c r="B211" s="151" t="s">
        <v>315</v>
      </c>
      <c r="C211" s="152"/>
      <c r="D211" s="141">
        <v>158088</v>
      </c>
      <c r="E211" s="141">
        <v>12</v>
      </c>
      <c r="F211" s="78">
        <f t="shared" si="13"/>
        <v>36649.000000000029</v>
      </c>
      <c r="G211" s="79">
        <f t="shared" si="14"/>
        <v>46503.999999999949</v>
      </c>
      <c r="H211" s="80">
        <v>33082.187347931897</v>
      </c>
      <c r="I211" s="142">
        <v>39899.346303501901</v>
      </c>
      <c r="J211" s="80"/>
      <c r="K211" s="81"/>
      <c r="L211" s="80">
        <v>3566.8126520681299</v>
      </c>
      <c r="M211" s="80"/>
      <c r="N211" s="80"/>
      <c r="O211" s="142">
        <v>6604.6536964980496</v>
      </c>
      <c r="P211" s="81"/>
      <c r="Q211" s="81"/>
      <c r="R211" s="80"/>
      <c r="S211" s="81"/>
      <c r="T211" s="78">
        <f t="shared" si="15"/>
        <v>0</v>
      </c>
      <c r="U211" s="79">
        <f t="shared" si="16"/>
        <v>0</v>
      </c>
      <c r="V211" s="80"/>
      <c r="W211" s="81"/>
      <c r="X211" s="80"/>
      <c r="Y211" s="81"/>
      <c r="Z211" s="80"/>
      <c r="AA211" s="80"/>
      <c r="AB211" s="80"/>
      <c r="AC211" s="81"/>
      <c r="AD211" s="81"/>
      <c r="AE211" s="81"/>
      <c r="AF211" s="80"/>
      <c r="AG211" s="81"/>
    </row>
    <row r="212" spans="1:33">
      <c r="A212" s="144" t="s">
        <v>291</v>
      </c>
      <c r="B212" s="139" t="s">
        <v>316</v>
      </c>
      <c r="C212" s="145"/>
      <c r="D212" s="141">
        <v>160481</v>
      </c>
      <c r="E212" s="141">
        <v>12</v>
      </c>
      <c r="F212" s="78">
        <f t="shared" ref="F212:F275" si="17">SUM(H212,J212,L212,M212,N212,R212)</f>
        <v>50565.999999999971</v>
      </c>
      <c r="G212" s="79">
        <f t="shared" ref="G212:G275" si="18">SUM(I212,K212,O212,P212,Q212,S212)</f>
        <v>40980.000000000044</v>
      </c>
      <c r="H212" s="80">
        <v>45023.667487684703</v>
      </c>
      <c r="I212" s="142">
        <v>31148.8127294982</v>
      </c>
      <c r="J212" s="80"/>
      <c r="K212" s="81"/>
      <c r="L212" s="80">
        <v>5542.3325123152699</v>
      </c>
      <c r="M212" s="80"/>
      <c r="N212" s="80"/>
      <c r="O212" s="142">
        <v>9831.1872705018395</v>
      </c>
      <c r="P212" s="81"/>
      <c r="Q212" s="81"/>
      <c r="R212" s="80"/>
      <c r="S212" s="81"/>
      <c r="T212" s="78">
        <f t="shared" ref="T212:T275" si="19">SUM(V212,X212,Z212,AA212,AB212,AF212)</f>
        <v>0</v>
      </c>
      <c r="U212" s="79">
        <f t="shared" si="16"/>
        <v>0</v>
      </c>
      <c r="V212" s="80"/>
      <c r="W212" s="81"/>
      <c r="X212" s="80"/>
      <c r="Y212" s="81"/>
      <c r="Z212" s="80"/>
      <c r="AA212" s="80"/>
      <c r="AB212" s="80"/>
      <c r="AC212" s="81"/>
      <c r="AD212" s="81"/>
      <c r="AE212" s="81"/>
      <c r="AF212" s="80"/>
      <c r="AG212" s="81"/>
    </row>
    <row r="213" spans="1:33">
      <c r="A213" s="144" t="s">
        <v>291</v>
      </c>
      <c r="B213" s="151" t="s">
        <v>317</v>
      </c>
      <c r="C213" s="152"/>
      <c r="D213" s="141">
        <v>160667</v>
      </c>
      <c r="E213" s="141">
        <v>12</v>
      </c>
      <c r="F213" s="78">
        <f t="shared" si="17"/>
        <v>58160.000000000044</v>
      </c>
      <c r="G213" s="79">
        <f t="shared" si="18"/>
        <v>65592</v>
      </c>
      <c r="H213" s="80">
        <v>52118.347934918696</v>
      </c>
      <c r="I213" s="142">
        <v>55573.892063492101</v>
      </c>
      <c r="J213" s="80"/>
      <c r="K213" s="81"/>
      <c r="L213" s="80">
        <v>6041.65206508135</v>
      </c>
      <c r="M213" s="80"/>
      <c r="N213" s="80"/>
      <c r="O213" s="142">
        <v>10018.1079365079</v>
      </c>
      <c r="P213" s="81"/>
      <c r="Q213" s="81"/>
      <c r="R213" s="80"/>
      <c r="S213" s="81"/>
      <c r="T213" s="78">
        <f t="shared" si="19"/>
        <v>0</v>
      </c>
      <c r="U213" s="79">
        <f t="shared" si="16"/>
        <v>0</v>
      </c>
      <c r="V213" s="80"/>
      <c r="W213" s="81"/>
      <c r="X213" s="80"/>
      <c r="Y213" s="81"/>
      <c r="Z213" s="80"/>
      <c r="AA213" s="80"/>
      <c r="AB213" s="80"/>
      <c r="AC213" s="81"/>
      <c r="AD213" s="81"/>
      <c r="AE213" s="81"/>
      <c r="AF213" s="80"/>
      <c r="AG213" s="81"/>
    </row>
    <row r="214" spans="1:33">
      <c r="A214" s="144" t="s">
        <v>291</v>
      </c>
      <c r="B214" s="151" t="s">
        <v>318</v>
      </c>
      <c r="C214" s="152" t="s">
        <v>325</v>
      </c>
      <c r="D214" s="141">
        <v>160010</v>
      </c>
      <c r="E214" s="141">
        <v>12</v>
      </c>
      <c r="F214" s="78">
        <f t="shared" si="17"/>
        <v>36094</v>
      </c>
      <c r="G214" s="79">
        <f t="shared" si="18"/>
        <v>27171</v>
      </c>
      <c r="H214" s="80">
        <v>36094</v>
      </c>
      <c r="I214" s="142">
        <v>27171</v>
      </c>
      <c r="J214" s="80"/>
      <c r="K214" s="81"/>
      <c r="L214" s="80">
        <v>0</v>
      </c>
      <c r="M214" s="80"/>
      <c r="N214" s="80"/>
      <c r="O214" s="142">
        <v>0</v>
      </c>
      <c r="P214" s="81"/>
      <c r="Q214" s="81"/>
      <c r="R214" s="80"/>
      <c r="S214" s="81"/>
      <c r="T214" s="78">
        <f t="shared" si="19"/>
        <v>0</v>
      </c>
      <c r="U214" s="79">
        <f t="shared" si="16"/>
        <v>0</v>
      </c>
      <c r="V214" s="80"/>
      <c r="W214" s="81"/>
      <c r="X214" s="80"/>
      <c r="Y214" s="81"/>
      <c r="Z214" s="80"/>
      <c r="AA214" s="80"/>
      <c r="AB214" s="80"/>
      <c r="AC214" s="81"/>
      <c r="AD214" s="81"/>
      <c r="AE214" s="81"/>
      <c r="AF214" s="80"/>
      <c r="AG214" s="81"/>
    </row>
    <row r="215" spans="1:33">
      <c r="A215" s="144" t="s">
        <v>291</v>
      </c>
      <c r="B215" s="151" t="s">
        <v>319</v>
      </c>
      <c r="C215" s="152"/>
      <c r="D215" s="141">
        <v>160913</v>
      </c>
      <c r="E215" s="141">
        <v>12</v>
      </c>
      <c r="F215" s="78">
        <f t="shared" si="17"/>
        <v>49776.000000000022</v>
      </c>
      <c r="G215" s="79">
        <f t="shared" si="18"/>
        <v>33300.999999999956</v>
      </c>
      <c r="H215" s="80">
        <v>44841.453093812401</v>
      </c>
      <c r="I215" s="142">
        <v>28050.746980292399</v>
      </c>
      <c r="J215" s="80"/>
      <c r="K215" s="81"/>
      <c r="L215" s="80">
        <v>4934.5469061876202</v>
      </c>
      <c r="M215" s="80"/>
      <c r="N215" s="80"/>
      <c r="O215" s="142">
        <v>5250.2530197075603</v>
      </c>
      <c r="P215" s="81"/>
      <c r="Q215" s="81"/>
      <c r="R215" s="80"/>
      <c r="S215" s="81"/>
      <c r="T215" s="78">
        <f t="shared" si="19"/>
        <v>0</v>
      </c>
      <c r="U215" s="79">
        <f t="shared" si="16"/>
        <v>0</v>
      </c>
      <c r="V215" s="80"/>
      <c r="W215" s="81"/>
      <c r="X215" s="80"/>
      <c r="Y215" s="81"/>
      <c r="Z215" s="80"/>
      <c r="AA215" s="80"/>
      <c r="AB215" s="80"/>
      <c r="AC215" s="81"/>
      <c r="AD215" s="81"/>
      <c r="AE215" s="81"/>
      <c r="AF215" s="80"/>
      <c r="AG215" s="81"/>
    </row>
    <row r="216" spans="1:33">
      <c r="A216" s="144" t="s">
        <v>291</v>
      </c>
      <c r="B216" s="139" t="s">
        <v>320</v>
      </c>
      <c r="C216" s="140"/>
      <c r="D216" s="141">
        <v>160579</v>
      </c>
      <c r="E216" s="141">
        <v>12</v>
      </c>
      <c r="F216" s="78">
        <f t="shared" si="17"/>
        <v>67383.000000000044</v>
      </c>
      <c r="G216" s="79">
        <f t="shared" si="18"/>
        <v>66345.5</v>
      </c>
      <c r="H216" s="80">
        <v>57502.948021722303</v>
      </c>
      <c r="I216" s="142">
        <v>56204.731434751302</v>
      </c>
      <c r="J216" s="80"/>
      <c r="K216" s="81"/>
      <c r="L216" s="80">
        <v>9880.0519782777392</v>
      </c>
      <c r="M216" s="80"/>
      <c r="N216" s="80"/>
      <c r="O216" s="142">
        <v>10140.7685652487</v>
      </c>
      <c r="P216" s="81"/>
      <c r="Q216" s="81"/>
      <c r="R216" s="80"/>
      <c r="S216" s="81"/>
      <c r="T216" s="78">
        <f t="shared" si="19"/>
        <v>0</v>
      </c>
      <c r="U216" s="79">
        <f t="shared" si="16"/>
        <v>0</v>
      </c>
      <c r="V216" s="80"/>
      <c r="W216" s="81"/>
      <c r="X216" s="80"/>
      <c r="Y216" s="81"/>
      <c r="Z216" s="80"/>
      <c r="AA216" s="80"/>
      <c r="AB216" s="80"/>
      <c r="AC216" s="81"/>
      <c r="AD216" s="81"/>
      <c r="AE216" s="81"/>
      <c r="AF216" s="80"/>
      <c r="AG216" s="81"/>
    </row>
    <row r="217" spans="1:33">
      <c r="A217" s="144" t="s">
        <v>291</v>
      </c>
      <c r="B217" s="139" t="s">
        <v>321</v>
      </c>
      <c r="C217" s="140"/>
      <c r="D217" s="141">
        <v>159373</v>
      </c>
      <c r="E217" s="141">
        <v>15</v>
      </c>
      <c r="F217" s="78">
        <f t="shared" si="17"/>
        <v>0</v>
      </c>
      <c r="G217" s="79">
        <f t="shared" si="18"/>
        <v>0</v>
      </c>
      <c r="H217" s="80"/>
      <c r="I217" s="81"/>
      <c r="J217" s="80"/>
      <c r="K217" s="81"/>
      <c r="L217" s="80"/>
      <c r="M217" s="80"/>
      <c r="N217" s="80"/>
      <c r="O217" s="81"/>
      <c r="P217" s="81"/>
      <c r="Q217" s="81"/>
      <c r="R217" s="80"/>
      <c r="S217" s="81"/>
      <c r="T217" s="78">
        <f t="shared" si="19"/>
        <v>0</v>
      </c>
      <c r="U217" s="79">
        <f t="shared" si="16"/>
        <v>0</v>
      </c>
      <c r="V217" s="80"/>
      <c r="W217" s="81"/>
      <c r="X217" s="80"/>
      <c r="Y217" s="81"/>
      <c r="Z217" s="80"/>
      <c r="AA217" s="80"/>
      <c r="AB217" s="80"/>
      <c r="AC217" s="81"/>
      <c r="AD217" s="81"/>
      <c r="AE217" s="81"/>
      <c r="AF217" s="80"/>
      <c r="AG217" s="81"/>
    </row>
    <row r="218" spans="1:33">
      <c r="A218" s="144" t="s">
        <v>291</v>
      </c>
      <c r="B218" s="139" t="s">
        <v>322</v>
      </c>
      <c r="C218" s="140"/>
      <c r="D218" s="141">
        <v>435000</v>
      </c>
      <c r="E218" s="141">
        <v>15</v>
      </c>
      <c r="F218" s="78">
        <f t="shared" si="17"/>
        <v>0</v>
      </c>
      <c r="G218" s="79">
        <f t="shared" si="18"/>
        <v>0</v>
      </c>
      <c r="H218" s="80"/>
      <c r="I218" s="81"/>
      <c r="J218" s="80"/>
      <c r="K218" s="81"/>
      <c r="L218" s="80"/>
      <c r="M218" s="80"/>
      <c r="N218" s="80"/>
      <c r="O218" s="81"/>
      <c r="P218" s="81"/>
      <c r="Q218" s="81"/>
      <c r="R218" s="80"/>
      <c r="S218" s="81"/>
      <c r="T218" s="78">
        <f t="shared" si="19"/>
        <v>0</v>
      </c>
      <c r="U218" s="79">
        <f t="shared" si="16"/>
        <v>0</v>
      </c>
      <c r="V218" s="80"/>
      <c r="W218" s="81"/>
      <c r="X218" s="80"/>
      <c r="Y218" s="81"/>
      <c r="Z218" s="80"/>
      <c r="AA218" s="80"/>
      <c r="AB218" s="80"/>
      <c r="AC218" s="81"/>
      <c r="AD218" s="81"/>
      <c r="AE218" s="81"/>
      <c r="AF218" s="80"/>
      <c r="AG218" s="81"/>
    </row>
    <row r="219" spans="1:33" s="44" customFormat="1" ht="15.75" customHeight="1">
      <c r="A219" s="3" t="s">
        <v>326</v>
      </c>
      <c r="B219" s="2" t="s">
        <v>327</v>
      </c>
      <c r="C219" s="1"/>
      <c r="D219" s="93">
        <v>163286</v>
      </c>
      <c r="E219" s="93">
        <v>1</v>
      </c>
      <c r="F219" s="78">
        <f t="shared" si="17"/>
        <v>830277</v>
      </c>
      <c r="G219" s="79">
        <f t="shared" si="18"/>
        <v>853125</v>
      </c>
      <c r="H219" s="80">
        <v>777707</v>
      </c>
      <c r="I219" s="154">
        <v>800608</v>
      </c>
      <c r="J219" s="80">
        <v>19984</v>
      </c>
      <c r="K219" s="154">
        <v>16569</v>
      </c>
      <c r="L219" s="80">
        <v>31895</v>
      </c>
      <c r="M219" s="80">
        <v>691</v>
      </c>
      <c r="N219" s="80">
        <v>0</v>
      </c>
      <c r="O219" s="154">
        <v>35162</v>
      </c>
      <c r="P219" s="154">
        <v>786</v>
      </c>
      <c r="Q219" s="81"/>
      <c r="R219" s="80">
        <v>0</v>
      </c>
      <c r="S219" s="81"/>
      <c r="T219" s="78">
        <f t="shared" si="19"/>
        <v>157557</v>
      </c>
      <c r="U219" s="79">
        <f t="shared" si="16"/>
        <v>158715.5</v>
      </c>
      <c r="V219" s="80">
        <v>120972</v>
      </c>
      <c r="W219" s="154">
        <v>123099.5</v>
      </c>
      <c r="X219" s="80">
        <v>24700</v>
      </c>
      <c r="Y219" s="154">
        <v>19764</v>
      </c>
      <c r="Z219" s="80">
        <v>11294</v>
      </c>
      <c r="AA219" s="80">
        <v>591</v>
      </c>
      <c r="AB219" s="80">
        <v>0</v>
      </c>
      <c r="AC219" s="154">
        <v>15188</v>
      </c>
      <c r="AD219" s="154">
        <v>664</v>
      </c>
      <c r="AE219" s="81"/>
      <c r="AF219" s="80">
        <v>0</v>
      </c>
      <c r="AG219" s="81"/>
    </row>
    <row r="220" spans="1:33" s="44" customFormat="1" ht="15" customHeight="1">
      <c r="A220" s="3" t="s">
        <v>326</v>
      </c>
      <c r="B220" s="2" t="s">
        <v>328</v>
      </c>
      <c r="C220" s="155"/>
      <c r="D220" s="93">
        <v>163453</v>
      </c>
      <c r="E220" s="93">
        <v>2</v>
      </c>
      <c r="F220" s="78">
        <f t="shared" si="17"/>
        <v>184300</v>
      </c>
      <c r="G220" s="79">
        <f t="shared" si="18"/>
        <v>184154</v>
      </c>
      <c r="H220" s="80">
        <v>171998</v>
      </c>
      <c r="I220" s="154">
        <v>170277</v>
      </c>
      <c r="J220" s="80">
        <v>54</v>
      </c>
      <c r="K220" s="154">
        <v>66</v>
      </c>
      <c r="L220" s="80">
        <v>12248</v>
      </c>
      <c r="M220" s="80">
        <v>0</v>
      </c>
      <c r="N220" s="80">
        <v>0</v>
      </c>
      <c r="O220" s="154">
        <v>13811</v>
      </c>
      <c r="P220" s="154">
        <v>0</v>
      </c>
      <c r="Q220" s="81"/>
      <c r="R220" s="80">
        <v>0</v>
      </c>
      <c r="S220" s="81"/>
      <c r="T220" s="78">
        <f t="shared" si="19"/>
        <v>24369</v>
      </c>
      <c r="U220" s="79">
        <f t="shared" si="16"/>
        <v>24551</v>
      </c>
      <c r="V220" s="80">
        <v>19577</v>
      </c>
      <c r="W220" s="154">
        <v>19255</v>
      </c>
      <c r="X220" s="80">
        <v>48</v>
      </c>
      <c r="Y220" s="154">
        <v>42</v>
      </c>
      <c r="Z220" s="80">
        <v>4744</v>
      </c>
      <c r="AA220" s="80">
        <v>0</v>
      </c>
      <c r="AB220" s="80">
        <v>0</v>
      </c>
      <c r="AC220" s="154">
        <v>5254</v>
      </c>
      <c r="AD220" s="154">
        <v>0</v>
      </c>
      <c r="AE220" s="81"/>
      <c r="AF220" s="80">
        <v>0</v>
      </c>
      <c r="AG220" s="81"/>
    </row>
    <row r="221" spans="1:33" s="44" customFormat="1" ht="15" customHeight="1">
      <c r="A221" s="3" t="s">
        <v>326</v>
      </c>
      <c r="B221" s="2" t="s">
        <v>329</v>
      </c>
      <c r="C221" s="1"/>
      <c r="D221" s="93">
        <v>163268</v>
      </c>
      <c r="E221" s="93">
        <v>2</v>
      </c>
      <c r="F221" s="78">
        <f t="shared" si="17"/>
        <v>317866</v>
      </c>
      <c r="G221" s="79">
        <f t="shared" si="18"/>
        <v>317175</v>
      </c>
      <c r="H221" s="80">
        <v>268240</v>
      </c>
      <c r="I221" s="154">
        <v>266808</v>
      </c>
      <c r="J221" s="80">
        <v>7312</v>
      </c>
      <c r="K221" s="154">
        <v>7763</v>
      </c>
      <c r="L221" s="80">
        <v>42314</v>
      </c>
      <c r="M221" s="80">
        <v>0</v>
      </c>
      <c r="N221" s="80">
        <v>0</v>
      </c>
      <c r="O221" s="154">
        <v>42604</v>
      </c>
      <c r="P221" s="154">
        <v>0</v>
      </c>
      <c r="Q221" s="81"/>
      <c r="R221" s="80">
        <v>0</v>
      </c>
      <c r="S221" s="81"/>
      <c r="T221" s="78">
        <f t="shared" si="19"/>
        <v>34462</v>
      </c>
      <c r="U221" s="79">
        <f t="shared" si="16"/>
        <v>33052</v>
      </c>
      <c r="V221" s="80">
        <v>23451</v>
      </c>
      <c r="W221" s="154">
        <v>22159</v>
      </c>
      <c r="X221" s="80">
        <v>3401</v>
      </c>
      <c r="Y221" s="154">
        <v>3367</v>
      </c>
      <c r="Z221" s="80">
        <v>7610</v>
      </c>
      <c r="AA221" s="80">
        <v>0</v>
      </c>
      <c r="AB221" s="80">
        <v>0</v>
      </c>
      <c r="AC221" s="154">
        <v>7526</v>
      </c>
      <c r="AD221" s="154">
        <v>0</v>
      </c>
      <c r="AE221" s="81"/>
      <c r="AF221" s="80">
        <v>0</v>
      </c>
      <c r="AG221" s="81"/>
    </row>
    <row r="222" spans="1:33" s="44" customFormat="1" ht="15" customHeight="1">
      <c r="A222" s="3" t="s">
        <v>326</v>
      </c>
      <c r="B222" s="2" t="s">
        <v>330</v>
      </c>
      <c r="C222" s="1"/>
      <c r="D222" s="93">
        <v>164076</v>
      </c>
      <c r="E222" s="93">
        <v>3</v>
      </c>
      <c r="F222" s="78">
        <f t="shared" si="17"/>
        <v>541918</v>
      </c>
      <c r="G222" s="79">
        <f t="shared" si="18"/>
        <v>544909</v>
      </c>
      <c r="H222" s="80">
        <v>471126</v>
      </c>
      <c r="I222" s="154">
        <v>469945</v>
      </c>
      <c r="J222" s="80">
        <v>12791</v>
      </c>
      <c r="K222" s="154">
        <v>11415</v>
      </c>
      <c r="L222" s="80">
        <v>58001</v>
      </c>
      <c r="M222" s="80">
        <v>0</v>
      </c>
      <c r="N222" s="80">
        <v>0</v>
      </c>
      <c r="O222" s="154">
        <v>63450</v>
      </c>
      <c r="P222" s="154">
        <v>99</v>
      </c>
      <c r="Q222" s="81"/>
      <c r="R222" s="80">
        <v>0</v>
      </c>
      <c r="S222" s="81"/>
      <c r="T222" s="78">
        <f t="shared" si="19"/>
        <v>45421</v>
      </c>
      <c r="U222" s="79">
        <f t="shared" si="16"/>
        <v>44409</v>
      </c>
      <c r="V222" s="80">
        <v>28474</v>
      </c>
      <c r="W222" s="154">
        <v>27070</v>
      </c>
      <c r="X222" s="80">
        <v>6050</v>
      </c>
      <c r="Y222" s="154">
        <v>5957</v>
      </c>
      <c r="Z222" s="80">
        <v>10876</v>
      </c>
      <c r="AA222" s="80">
        <v>21</v>
      </c>
      <c r="AB222" s="80">
        <v>0</v>
      </c>
      <c r="AC222" s="154">
        <v>11370</v>
      </c>
      <c r="AD222" s="154">
        <v>12</v>
      </c>
      <c r="AE222" s="81"/>
      <c r="AF222" s="80">
        <v>0</v>
      </c>
      <c r="AG222" s="81"/>
    </row>
    <row r="223" spans="1:33" s="44" customFormat="1" ht="15" customHeight="1">
      <c r="A223" s="3" t="s">
        <v>326</v>
      </c>
      <c r="B223" s="2" t="s">
        <v>331</v>
      </c>
      <c r="C223" s="1"/>
      <c r="D223" s="93">
        <v>162007</v>
      </c>
      <c r="E223" s="93">
        <v>4</v>
      </c>
      <c r="F223" s="78">
        <f t="shared" si="17"/>
        <v>125437</v>
      </c>
      <c r="G223" s="79">
        <f t="shared" si="18"/>
        <v>136075</v>
      </c>
      <c r="H223" s="80">
        <v>103591</v>
      </c>
      <c r="I223" s="154">
        <v>112186</v>
      </c>
      <c r="J223" s="80">
        <v>231</v>
      </c>
      <c r="K223" s="154">
        <v>0</v>
      </c>
      <c r="L223" s="80">
        <v>21615</v>
      </c>
      <c r="M223" s="80">
        <v>0</v>
      </c>
      <c r="N223" s="80">
        <v>0</v>
      </c>
      <c r="O223" s="154">
        <v>23889</v>
      </c>
      <c r="P223" s="154">
        <v>0</v>
      </c>
      <c r="Q223" s="81"/>
      <c r="R223" s="80">
        <v>0</v>
      </c>
      <c r="S223" s="81"/>
      <c r="T223" s="78">
        <f t="shared" si="19"/>
        <v>14769</v>
      </c>
      <c r="U223" s="79">
        <f t="shared" si="16"/>
        <v>15976</v>
      </c>
      <c r="V223" s="80">
        <v>12730</v>
      </c>
      <c r="W223" s="154">
        <v>12190</v>
      </c>
      <c r="X223" s="80">
        <v>511</v>
      </c>
      <c r="Y223" s="154">
        <v>2222</v>
      </c>
      <c r="Z223" s="80">
        <v>1528</v>
      </c>
      <c r="AA223" s="80">
        <v>0</v>
      </c>
      <c r="AB223" s="80">
        <v>0</v>
      </c>
      <c r="AC223" s="154">
        <v>1564</v>
      </c>
      <c r="AD223" s="154">
        <v>0</v>
      </c>
      <c r="AE223" s="81"/>
      <c r="AF223" s="80">
        <v>0</v>
      </c>
      <c r="AG223" s="81"/>
    </row>
    <row r="224" spans="1:33" s="44" customFormat="1" ht="15" customHeight="1">
      <c r="A224" s="3" t="s">
        <v>326</v>
      </c>
      <c r="B224" s="2" t="s">
        <v>332</v>
      </c>
      <c r="C224" s="1"/>
      <c r="D224" s="93">
        <v>162584</v>
      </c>
      <c r="E224" s="93">
        <v>4</v>
      </c>
      <c r="F224" s="78">
        <f t="shared" si="17"/>
        <v>135376</v>
      </c>
      <c r="G224" s="79">
        <f t="shared" si="18"/>
        <v>131583</v>
      </c>
      <c r="H224" s="80">
        <v>107454</v>
      </c>
      <c r="I224" s="154">
        <v>104619</v>
      </c>
      <c r="J224" s="80">
        <v>3506</v>
      </c>
      <c r="K224" s="154">
        <v>2818</v>
      </c>
      <c r="L224" s="80">
        <v>24416</v>
      </c>
      <c r="M224" s="80">
        <v>0</v>
      </c>
      <c r="N224" s="80">
        <v>0</v>
      </c>
      <c r="O224" s="154">
        <v>24146</v>
      </c>
      <c r="P224" s="154">
        <v>0</v>
      </c>
      <c r="Q224" s="81"/>
      <c r="R224" s="80">
        <v>0</v>
      </c>
      <c r="S224" s="81"/>
      <c r="T224" s="78">
        <f t="shared" si="19"/>
        <v>12584</v>
      </c>
      <c r="U224" s="79">
        <f t="shared" si="16"/>
        <v>10471</v>
      </c>
      <c r="V224" s="80">
        <v>3477</v>
      </c>
      <c r="W224" s="154">
        <v>3557</v>
      </c>
      <c r="X224" s="80">
        <v>487</v>
      </c>
      <c r="Y224" s="154">
        <v>818</v>
      </c>
      <c r="Z224" s="80">
        <v>8620</v>
      </c>
      <c r="AA224" s="80">
        <v>0</v>
      </c>
      <c r="AB224" s="80">
        <v>0</v>
      </c>
      <c r="AC224" s="154">
        <v>6096</v>
      </c>
      <c r="AD224" s="154">
        <v>0</v>
      </c>
      <c r="AE224" s="81"/>
      <c r="AF224" s="80">
        <v>0</v>
      </c>
      <c r="AG224" s="81"/>
    </row>
    <row r="225" spans="1:33" s="44" customFormat="1" ht="15" customHeight="1">
      <c r="A225" s="3" t="s">
        <v>326</v>
      </c>
      <c r="B225" s="2" t="s">
        <v>333</v>
      </c>
      <c r="C225" s="1"/>
      <c r="D225" s="93">
        <v>163851</v>
      </c>
      <c r="E225" s="93">
        <v>4</v>
      </c>
      <c r="F225" s="78">
        <f t="shared" si="17"/>
        <v>232536</v>
      </c>
      <c r="G225" s="79">
        <f t="shared" si="18"/>
        <v>234127</v>
      </c>
      <c r="H225" s="80">
        <v>203203</v>
      </c>
      <c r="I225" s="154">
        <v>205095</v>
      </c>
      <c r="J225" s="80">
        <v>3025</v>
      </c>
      <c r="K225" s="154">
        <v>2726</v>
      </c>
      <c r="L225" s="80">
        <v>18815</v>
      </c>
      <c r="M225" s="80">
        <v>7493</v>
      </c>
      <c r="N225" s="80">
        <v>0</v>
      </c>
      <c r="O225" s="154">
        <v>20592</v>
      </c>
      <c r="P225" s="154">
        <v>5714</v>
      </c>
      <c r="Q225" s="81"/>
      <c r="R225" s="80">
        <v>0</v>
      </c>
      <c r="S225" s="81"/>
      <c r="T225" s="78">
        <f t="shared" si="19"/>
        <v>14499</v>
      </c>
      <c r="U225" s="79">
        <f t="shared" si="16"/>
        <v>15560</v>
      </c>
      <c r="V225" s="80">
        <v>3395</v>
      </c>
      <c r="W225" s="154">
        <v>3110</v>
      </c>
      <c r="X225" s="80">
        <v>97</v>
      </c>
      <c r="Y225" s="154">
        <v>30</v>
      </c>
      <c r="Z225" s="80">
        <v>7697</v>
      </c>
      <c r="AA225" s="80">
        <v>3310</v>
      </c>
      <c r="AB225" s="80">
        <v>0</v>
      </c>
      <c r="AC225" s="154">
        <v>9121</v>
      </c>
      <c r="AD225" s="154">
        <v>3299</v>
      </c>
      <c r="AE225" s="81"/>
      <c r="AF225" s="80">
        <v>0</v>
      </c>
      <c r="AG225" s="81"/>
    </row>
    <row r="226" spans="1:33" s="44" customFormat="1" ht="15.75" customHeight="1">
      <c r="A226" s="3" t="s">
        <v>326</v>
      </c>
      <c r="B226" s="2" t="s">
        <v>334</v>
      </c>
      <c r="C226" s="156"/>
      <c r="D226" s="93">
        <v>161873</v>
      </c>
      <c r="E226" s="93">
        <v>3</v>
      </c>
      <c r="F226" s="78">
        <f t="shared" si="17"/>
        <v>73582</v>
      </c>
      <c r="G226" s="79">
        <f t="shared" si="18"/>
        <v>67059</v>
      </c>
      <c r="H226" s="80">
        <v>53986</v>
      </c>
      <c r="I226" s="154">
        <v>47583</v>
      </c>
      <c r="J226" s="80">
        <v>1355</v>
      </c>
      <c r="K226" s="154">
        <v>1314</v>
      </c>
      <c r="L226" s="80">
        <v>18241</v>
      </c>
      <c r="M226" s="80">
        <v>0</v>
      </c>
      <c r="N226" s="80">
        <v>0</v>
      </c>
      <c r="O226" s="154">
        <v>18162</v>
      </c>
      <c r="P226" s="154">
        <v>0</v>
      </c>
      <c r="Q226" s="81"/>
      <c r="R226" s="80">
        <v>0</v>
      </c>
      <c r="S226" s="81"/>
      <c r="T226" s="78">
        <f t="shared" si="19"/>
        <v>46975</v>
      </c>
      <c r="U226" s="79">
        <f t="shared" si="16"/>
        <v>44150</v>
      </c>
      <c r="V226" s="80">
        <v>35847</v>
      </c>
      <c r="W226" s="154">
        <v>33078</v>
      </c>
      <c r="X226" s="80">
        <v>2186</v>
      </c>
      <c r="Y226" s="154">
        <v>1821</v>
      </c>
      <c r="Z226" s="80">
        <v>8942</v>
      </c>
      <c r="AA226" s="80">
        <v>0</v>
      </c>
      <c r="AB226" s="80">
        <v>0</v>
      </c>
      <c r="AC226" s="154">
        <v>9251</v>
      </c>
      <c r="AD226" s="154">
        <v>0</v>
      </c>
      <c r="AE226" s="81"/>
      <c r="AF226" s="80">
        <v>0</v>
      </c>
      <c r="AG226" s="81"/>
    </row>
    <row r="227" spans="1:33" s="44" customFormat="1" ht="15" customHeight="1">
      <c r="A227" s="3" t="s">
        <v>326</v>
      </c>
      <c r="B227" s="2" t="s">
        <v>335</v>
      </c>
      <c r="C227" s="1"/>
      <c r="D227" s="93">
        <v>163338</v>
      </c>
      <c r="E227" s="93">
        <v>4</v>
      </c>
      <c r="F227" s="78">
        <f t="shared" si="17"/>
        <v>97253</v>
      </c>
      <c r="G227" s="79">
        <f t="shared" si="18"/>
        <v>84678</v>
      </c>
      <c r="H227" s="80">
        <v>80274</v>
      </c>
      <c r="I227" s="154">
        <v>69123</v>
      </c>
      <c r="J227" s="80">
        <v>3173</v>
      </c>
      <c r="K227" s="154">
        <v>2046</v>
      </c>
      <c r="L227" s="80">
        <v>13806</v>
      </c>
      <c r="M227" s="80">
        <v>0</v>
      </c>
      <c r="N227" s="80">
        <v>0</v>
      </c>
      <c r="O227" s="154">
        <v>13509</v>
      </c>
      <c r="P227" s="154">
        <v>0</v>
      </c>
      <c r="Q227" s="81"/>
      <c r="R227" s="80">
        <v>0</v>
      </c>
      <c r="S227" s="81"/>
      <c r="T227" s="78">
        <f t="shared" si="19"/>
        <v>18016</v>
      </c>
      <c r="U227" s="79">
        <f t="shared" si="16"/>
        <v>18323</v>
      </c>
      <c r="V227" s="80">
        <v>17476</v>
      </c>
      <c r="W227" s="154">
        <v>17460</v>
      </c>
      <c r="X227" s="80">
        <v>222</v>
      </c>
      <c r="Y227" s="154">
        <v>209</v>
      </c>
      <c r="Z227" s="80">
        <v>318</v>
      </c>
      <c r="AA227" s="80">
        <v>0</v>
      </c>
      <c r="AB227" s="80">
        <v>0</v>
      </c>
      <c r="AC227" s="154">
        <v>654</v>
      </c>
      <c r="AD227" s="154">
        <v>0</v>
      </c>
      <c r="AE227" s="81"/>
      <c r="AF227" s="80">
        <v>0</v>
      </c>
      <c r="AG227" s="81"/>
    </row>
    <row r="228" spans="1:33" s="44" customFormat="1" ht="15" customHeight="1">
      <c r="A228" s="3" t="s">
        <v>326</v>
      </c>
      <c r="B228" s="2" t="s">
        <v>336</v>
      </c>
      <c r="C228" s="1"/>
      <c r="D228" s="93">
        <v>162283</v>
      </c>
      <c r="E228" s="93">
        <v>5</v>
      </c>
      <c r="F228" s="78">
        <f t="shared" si="17"/>
        <v>66610</v>
      </c>
      <c r="G228" s="79">
        <f t="shared" si="18"/>
        <v>63125</v>
      </c>
      <c r="H228" s="80">
        <v>50909</v>
      </c>
      <c r="I228" s="154">
        <v>48548</v>
      </c>
      <c r="J228" s="80">
        <v>1785</v>
      </c>
      <c r="K228" s="154">
        <v>1564</v>
      </c>
      <c r="L228" s="80">
        <v>13916</v>
      </c>
      <c r="M228" s="80">
        <v>0</v>
      </c>
      <c r="N228" s="80">
        <v>0</v>
      </c>
      <c r="O228" s="154">
        <v>13013</v>
      </c>
      <c r="P228" s="154">
        <v>0</v>
      </c>
      <c r="Q228" s="81"/>
      <c r="R228" s="80">
        <v>0</v>
      </c>
      <c r="S228" s="81"/>
      <c r="T228" s="78">
        <f t="shared" si="19"/>
        <v>5570</v>
      </c>
      <c r="U228" s="79">
        <f t="shared" si="16"/>
        <v>5008</v>
      </c>
      <c r="V228" s="80">
        <v>4055</v>
      </c>
      <c r="W228" s="154">
        <v>3823</v>
      </c>
      <c r="X228" s="80">
        <v>717</v>
      </c>
      <c r="Y228" s="154">
        <v>544</v>
      </c>
      <c r="Z228" s="80">
        <v>798</v>
      </c>
      <c r="AA228" s="80">
        <v>0</v>
      </c>
      <c r="AB228" s="80">
        <v>0</v>
      </c>
      <c r="AC228" s="154">
        <v>641</v>
      </c>
      <c r="AD228" s="154">
        <v>0</v>
      </c>
      <c r="AE228" s="81"/>
      <c r="AF228" s="80">
        <v>0</v>
      </c>
      <c r="AG228" s="81"/>
    </row>
    <row r="229" spans="1:33" s="44" customFormat="1" ht="15" customHeight="1">
      <c r="A229" s="3" t="s">
        <v>326</v>
      </c>
      <c r="B229" s="2" t="s">
        <v>337</v>
      </c>
      <c r="C229" s="1" t="s">
        <v>356</v>
      </c>
      <c r="D229" s="93">
        <v>163912</v>
      </c>
      <c r="E229" s="93">
        <v>6</v>
      </c>
      <c r="F229" s="78">
        <f t="shared" si="17"/>
        <v>51243</v>
      </c>
      <c r="G229" s="79">
        <f t="shared" si="18"/>
        <v>48855</v>
      </c>
      <c r="H229" s="80">
        <v>51243</v>
      </c>
      <c r="I229" s="154">
        <v>48855</v>
      </c>
      <c r="J229" s="80">
        <v>0</v>
      </c>
      <c r="K229" s="154">
        <v>0</v>
      </c>
      <c r="L229" s="80">
        <v>0</v>
      </c>
      <c r="M229" s="80">
        <v>0</v>
      </c>
      <c r="N229" s="80">
        <v>0</v>
      </c>
      <c r="O229" s="154">
        <v>0</v>
      </c>
      <c r="P229" s="154">
        <v>0</v>
      </c>
      <c r="Q229" s="81"/>
      <c r="R229" s="80">
        <v>0</v>
      </c>
      <c r="S229" s="81"/>
      <c r="T229" s="78">
        <f t="shared" si="19"/>
        <v>1356</v>
      </c>
      <c r="U229" s="79">
        <f t="shared" si="16"/>
        <v>1409</v>
      </c>
      <c r="V229" s="80">
        <v>1356</v>
      </c>
      <c r="W229" s="154">
        <v>1409</v>
      </c>
      <c r="X229" s="80">
        <v>0</v>
      </c>
      <c r="Y229" s="154">
        <v>0</v>
      </c>
      <c r="Z229" s="80">
        <v>0</v>
      </c>
      <c r="AA229" s="80">
        <v>0</v>
      </c>
      <c r="AB229" s="80">
        <v>0</v>
      </c>
      <c r="AC229" s="154">
        <v>0</v>
      </c>
      <c r="AD229" s="154">
        <v>0</v>
      </c>
      <c r="AE229" s="81"/>
      <c r="AF229" s="80">
        <v>0</v>
      </c>
      <c r="AG229" s="81"/>
    </row>
    <row r="230" spans="1:33" s="44" customFormat="1" ht="15" customHeight="1">
      <c r="A230" s="3" t="s">
        <v>326</v>
      </c>
      <c r="B230" s="2" t="s">
        <v>338</v>
      </c>
      <c r="C230" s="97"/>
      <c r="D230" s="93">
        <v>161767</v>
      </c>
      <c r="E230" s="93">
        <v>8</v>
      </c>
      <c r="F230" s="78">
        <f t="shared" si="17"/>
        <v>250158</v>
      </c>
      <c r="G230" s="79">
        <f t="shared" si="18"/>
        <v>242050</v>
      </c>
      <c r="H230" s="80">
        <v>172500</v>
      </c>
      <c r="I230" s="154">
        <v>163685</v>
      </c>
      <c r="J230" s="80">
        <v>4483</v>
      </c>
      <c r="K230" s="154">
        <v>4198</v>
      </c>
      <c r="L230" s="80">
        <v>72877</v>
      </c>
      <c r="M230" s="80">
        <v>298</v>
      </c>
      <c r="N230" s="80">
        <v>0</v>
      </c>
      <c r="O230" s="154">
        <v>73941</v>
      </c>
      <c r="P230" s="154">
        <v>226</v>
      </c>
      <c r="Q230" s="81"/>
      <c r="R230" s="80">
        <v>0</v>
      </c>
      <c r="S230" s="81"/>
      <c r="T230" s="78">
        <f t="shared" si="19"/>
        <v>0</v>
      </c>
      <c r="U230" s="79">
        <f t="shared" si="16"/>
        <v>0</v>
      </c>
      <c r="V230" s="80"/>
      <c r="W230" s="154">
        <v>0</v>
      </c>
      <c r="X230" s="80"/>
      <c r="Y230" s="154">
        <v>0</v>
      </c>
      <c r="Z230" s="80"/>
      <c r="AA230" s="80">
        <v>0</v>
      </c>
      <c r="AB230" s="80">
        <v>0</v>
      </c>
      <c r="AC230" s="154">
        <v>0</v>
      </c>
      <c r="AD230" s="154">
        <v>0</v>
      </c>
      <c r="AE230" s="81"/>
      <c r="AF230" s="80">
        <v>0</v>
      </c>
      <c r="AG230" s="81"/>
    </row>
    <row r="231" spans="1:33" s="44" customFormat="1" ht="15" customHeight="1">
      <c r="A231" s="3" t="s">
        <v>326</v>
      </c>
      <c r="B231" s="2" t="s">
        <v>339</v>
      </c>
      <c r="C231" s="1" t="s">
        <v>324</v>
      </c>
      <c r="D231" s="93">
        <v>162122</v>
      </c>
      <c r="E231" s="93">
        <v>8</v>
      </c>
      <c r="F231" s="78">
        <f t="shared" si="17"/>
        <v>150284</v>
      </c>
      <c r="G231" s="79">
        <f t="shared" si="18"/>
        <v>140742</v>
      </c>
      <c r="H231" s="80">
        <v>91477</v>
      </c>
      <c r="I231" s="154">
        <v>84581</v>
      </c>
      <c r="J231" s="80">
        <v>5192</v>
      </c>
      <c r="K231" s="154">
        <v>5024</v>
      </c>
      <c r="L231" s="80">
        <v>53321</v>
      </c>
      <c r="M231" s="80">
        <v>294</v>
      </c>
      <c r="N231" s="80">
        <v>0</v>
      </c>
      <c r="O231" s="154">
        <v>50956</v>
      </c>
      <c r="P231" s="154">
        <v>181</v>
      </c>
      <c r="Q231" s="81"/>
      <c r="R231" s="80">
        <v>0</v>
      </c>
      <c r="S231" s="81"/>
      <c r="T231" s="78">
        <f t="shared" si="19"/>
        <v>0</v>
      </c>
      <c r="U231" s="79">
        <f t="shared" si="16"/>
        <v>0</v>
      </c>
      <c r="V231" s="80"/>
      <c r="W231" s="154">
        <v>0</v>
      </c>
      <c r="X231" s="80"/>
      <c r="Y231" s="154">
        <v>0</v>
      </c>
      <c r="Z231" s="80"/>
      <c r="AA231" s="80">
        <v>0</v>
      </c>
      <c r="AB231" s="80">
        <v>0</v>
      </c>
      <c r="AC231" s="154">
        <v>0</v>
      </c>
      <c r="AD231" s="154">
        <v>0</v>
      </c>
      <c r="AE231" s="81"/>
      <c r="AF231" s="80">
        <v>0</v>
      </c>
      <c r="AG231" s="81"/>
    </row>
    <row r="232" spans="1:33" s="44" customFormat="1" ht="15" customHeight="1">
      <c r="A232" s="3" t="s">
        <v>326</v>
      </c>
      <c r="B232" s="2" t="s">
        <v>340</v>
      </c>
      <c r="C232" s="95"/>
      <c r="D232" s="93">
        <v>434672</v>
      </c>
      <c r="E232" s="93">
        <v>8</v>
      </c>
      <c r="F232" s="78">
        <f t="shared" si="17"/>
        <v>379712</v>
      </c>
      <c r="G232" s="79">
        <f t="shared" si="18"/>
        <v>354049</v>
      </c>
      <c r="H232" s="80">
        <v>272603</v>
      </c>
      <c r="I232" s="154">
        <v>248207</v>
      </c>
      <c r="J232" s="80">
        <v>43599</v>
      </c>
      <c r="K232" s="154">
        <v>40744</v>
      </c>
      <c r="L232" s="80">
        <v>63510</v>
      </c>
      <c r="M232" s="80">
        <v>0</v>
      </c>
      <c r="N232" s="80">
        <v>0</v>
      </c>
      <c r="O232" s="154">
        <v>65098</v>
      </c>
      <c r="P232" s="154">
        <v>0</v>
      </c>
      <c r="Q232" s="81"/>
      <c r="R232" s="80">
        <v>0</v>
      </c>
      <c r="S232" s="81"/>
      <c r="T232" s="78">
        <f t="shared" si="19"/>
        <v>0</v>
      </c>
      <c r="U232" s="79">
        <f t="shared" si="16"/>
        <v>0</v>
      </c>
      <c r="V232" s="80"/>
      <c r="W232" s="154">
        <v>0</v>
      </c>
      <c r="X232" s="80"/>
      <c r="Y232" s="154">
        <v>0</v>
      </c>
      <c r="Z232" s="80"/>
      <c r="AA232" s="80">
        <v>0</v>
      </c>
      <c r="AB232" s="80">
        <v>0</v>
      </c>
      <c r="AC232" s="154">
        <v>0</v>
      </c>
      <c r="AD232" s="154">
        <v>0</v>
      </c>
      <c r="AE232" s="81"/>
      <c r="AF232" s="80">
        <v>0</v>
      </c>
      <c r="AG232" s="81"/>
    </row>
    <row r="233" spans="1:33" s="44" customFormat="1" ht="15" customHeight="1">
      <c r="A233" s="3" t="s">
        <v>326</v>
      </c>
      <c r="B233" s="2" t="s">
        <v>341</v>
      </c>
      <c r="C233" s="97"/>
      <c r="D233" s="93">
        <v>162779</v>
      </c>
      <c r="E233" s="93">
        <v>8</v>
      </c>
      <c r="F233" s="78">
        <f t="shared" si="17"/>
        <v>189160</v>
      </c>
      <c r="G233" s="79">
        <f t="shared" si="18"/>
        <v>188465</v>
      </c>
      <c r="H233" s="80">
        <v>151586</v>
      </c>
      <c r="I233" s="154">
        <v>147717</v>
      </c>
      <c r="J233" s="80">
        <v>6889</v>
      </c>
      <c r="K233" s="154">
        <v>8030</v>
      </c>
      <c r="L233" s="80">
        <v>30685</v>
      </c>
      <c r="M233" s="80">
        <v>0</v>
      </c>
      <c r="N233" s="80">
        <v>0</v>
      </c>
      <c r="O233" s="154">
        <v>32718</v>
      </c>
      <c r="P233" s="154">
        <v>0</v>
      </c>
      <c r="Q233" s="81"/>
      <c r="R233" s="80">
        <v>0</v>
      </c>
      <c r="S233" s="81"/>
      <c r="T233" s="78">
        <f t="shared" si="19"/>
        <v>0</v>
      </c>
      <c r="U233" s="79">
        <f t="shared" si="16"/>
        <v>0</v>
      </c>
      <c r="V233" s="80"/>
      <c r="W233" s="154">
        <v>0</v>
      </c>
      <c r="X233" s="80"/>
      <c r="Y233" s="154">
        <v>0</v>
      </c>
      <c r="Z233" s="80"/>
      <c r="AA233" s="80">
        <v>0</v>
      </c>
      <c r="AB233" s="80">
        <v>0</v>
      </c>
      <c r="AC233" s="154">
        <v>0</v>
      </c>
      <c r="AD233" s="154">
        <v>0</v>
      </c>
      <c r="AE233" s="81"/>
      <c r="AF233" s="80">
        <v>0</v>
      </c>
      <c r="AG233" s="81"/>
    </row>
    <row r="234" spans="1:33" s="44" customFormat="1" ht="15" customHeight="1">
      <c r="A234" s="3" t="s">
        <v>326</v>
      </c>
      <c r="B234" s="2" t="s">
        <v>342</v>
      </c>
      <c r="C234" s="1"/>
      <c r="D234" s="93">
        <v>163426</v>
      </c>
      <c r="E234" s="93">
        <v>8</v>
      </c>
      <c r="F234" s="78">
        <f t="shared" si="17"/>
        <v>691916</v>
      </c>
      <c r="G234" s="79">
        <f t="shared" si="18"/>
        <v>665685</v>
      </c>
      <c r="H234" s="80">
        <v>533371</v>
      </c>
      <c r="I234" s="154">
        <v>504569</v>
      </c>
      <c r="J234" s="80">
        <v>88948</v>
      </c>
      <c r="K234" s="154">
        <v>88727</v>
      </c>
      <c r="L234" s="80">
        <v>69597</v>
      </c>
      <c r="M234" s="80">
        <v>0</v>
      </c>
      <c r="N234" s="80">
        <v>0</v>
      </c>
      <c r="O234" s="154">
        <v>72389</v>
      </c>
      <c r="P234" s="154">
        <v>0</v>
      </c>
      <c r="Q234" s="81"/>
      <c r="R234" s="80">
        <v>0</v>
      </c>
      <c r="S234" s="81"/>
      <c r="T234" s="78">
        <f t="shared" si="19"/>
        <v>0</v>
      </c>
      <c r="U234" s="79">
        <f t="shared" si="16"/>
        <v>0</v>
      </c>
      <c r="V234" s="80"/>
      <c r="W234" s="154">
        <v>0</v>
      </c>
      <c r="X234" s="80"/>
      <c r="Y234" s="154">
        <v>0</v>
      </c>
      <c r="Z234" s="80"/>
      <c r="AA234" s="80">
        <v>0</v>
      </c>
      <c r="AB234" s="80">
        <v>0</v>
      </c>
      <c r="AC234" s="154">
        <v>0</v>
      </c>
      <c r="AD234" s="154">
        <v>0</v>
      </c>
      <c r="AE234" s="81"/>
      <c r="AF234" s="80">
        <v>0</v>
      </c>
      <c r="AG234" s="81"/>
    </row>
    <row r="235" spans="1:33" s="44" customFormat="1" ht="15" customHeight="1">
      <c r="A235" s="3" t="s">
        <v>326</v>
      </c>
      <c r="B235" s="2" t="s">
        <v>343</v>
      </c>
      <c r="C235" s="95"/>
      <c r="D235" s="93">
        <v>163657</v>
      </c>
      <c r="E235" s="93">
        <v>8</v>
      </c>
      <c r="F235" s="78">
        <f t="shared" si="17"/>
        <v>284405</v>
      </c>
      <c r="G235" s="79">
        <f t="shared" si="18"/>
        <v>409193</v>
      </c>
      <c r="H235" s="80">
        <v>110473</v>
      </c>
      <c r="I235" s="154">
        <v>183911</v>
      </c>
      <c r="J235" s="80">
        <v>141724</v>
      </c>
      <c r="K235" s="154">
        <v>182900</v>
      </c>
      <c r="L235" s="80">
        <v>32208</v>
      </c>
      <c r="M235" s="80">
        <v>0</v>
      </c>
      <c r="N235" s="80">
        <v>0</v>
      </c>
      <c r="O235" s="154">
        <v>42382</v>
      </c>
      <c r="P235" s="154">
        <v>0</v>
      </c>
      <c r="Q235" s="81"/>
      <c r="R235" s="80">
        <v>0</v>
      </c>
      <c r="S235" s="81"/>
      <c r="T235" s="78">
        <f t="shared" si="19"/>
        <v>0</v>
      </c>
      <c r="U235" s="79">
        <f t="shared" si="16"/>
        <v>0</v>
      </c>
      <c r="V235" s="80"/>
      <c r="W235" s="154">
        <v>0</v>
      </c>
      <c r="X235" s="80"/>
      <c r="Y235" s="154">
        <v>0</v>
      </c>
      <c r="Z235" s="80"/>
      <c r="AA235" s="80">
        <v>0</v>
      </c>
      <c r="AB235" s="80">
        <v>0</v>
      </c>
      <c r="AC235" s="154">
        <v>0</v>
      </c>
      <c r="AD235" s="154">
        <v>0</v>
      </c>
      <c r="AE235" s="81"/>
      <c r="AF235" s="80">
        <v>0</v>
      </c>
      <c r="AG235" s="81"/>
    </row>
    <row r="236" spans="1:33" s="44" customFormat="1" ht="15.75" customHeight="1">
      <c r="A236" s="3" t="s">
        <v>326</v>
      </c>
      <c r="B236" s="2" t="s">
        <v>344</v>
      </c>
      <c r="C236" s="1" t="s">
        <v>357</v>
      </c>
      <c r="D236" s="93">
        <v>161688</v>
      </c>
      <c r="E236" s="157">
        <v>9</v>
      </c>
      <c r="F236" s="78">
        <f t="shared" si="17"/>
        <v>58826</v>
      </c>
      <c r="G236" s="79">
        <f t="shared" si="18"/>
        <v>53541</v>
      </c>
      <c r="H236" s="80">
        <v>36359</v>
      </c>
      <c r="I236" s="154">
        <v>33558</v>
      </c>
      <c r="J236" s="80">
        <v>9454</v>
      </c>
      <c r="K236" s="154">
        <v>8669</v>
      </c>
      <c r="L236" s="80">
        <v>10376</v>
      </c>
      <c r="M236" s="80">
        <v>2637</v>
      </c>
      <c r="N236" s="80">
        <v>0</v>
      </c>
      <c r="O236" s="154">
        <v>9291</v>
      </c>
      <c r="P236" s="154">
        <v>2023</v>
      </c>
      <c r="Q236" s="81"/>
      <c r="R236" s="80">
        <v>0</v>
      </c>
      <c r="S236" s="81"/>
      <c r="T236" s="78">
        <f t="shared" si="19"/>
        <v>0</v>
      </c>
      <c r="U236" s="79">
        <f t="shared" si="16"/>
        <v>0</v>
      </c>
      <c r="V236" s="80"/>
      <c r="W236" s="154">
        <v>0</v>
      </c>
      <c r="X236" s="80"/>
      <c r="Y236" s="154">
        <v>0</v>
      </c>
      <c r="Z236" s="80"/>
      <c r="AA236" s="80">
        <v>0</v>
      </c>
      <c r="AB236" s="80">
        <v>0</v>
      </c>
      <c r="AC236" s="154">
        <v>0</v>
      </c>
      <c r="AD236" s="154">
        <v>0</v>
      </c>
      <c r="AE236" s="81"/>
      <c r="AF236" s="80">
        <v>0</v>
      </c>
      <c r="AG236" s="81"/>
    </row>
    <row r="237" spans="1:33" s="44" customFormat="1" ht="15" customHeight="1">
      <c r="A237" s="3" t="s">
        <v>326</v>
      </c>
      <c r="B237" s="2" t="s">
        <v>345</v>
      </c>
      <c r="C237" s="1"/>
      <c r="D237" s="93">
        <v>161864</v>
      </c>
      <c r="E237" s="93">
        <v>9</v>
      </c>
      <c r="F237" s="78">
        <f t="shared" si="17"/>
        <v>80456</v>
      </c>
      <c r="G237" s="79">
        <f t="shared" si="18"/>
        <v>77791</v>
      </c>
      <c r="H237" s="80">
        <v>55683</v>
      </c>
      <c r="I237" s="154">
        <v>54789</v>
      </c>
      <c r="J237" s="80">
        <v>7543</v>
      </c>
      <c r="K237" s="154">
        <v>3198</v>
      </c>
      <c r="L237" s="80">
        <v>17230</v>
      </c>
      <c r="M237" s="80">
        <v>0</v>
      </c>
      <c r="N237" s="80">
        <v>0</v>
      </c>
      <c r="O237" s="154">
        <v>19804</v>
      </c>
      <c r="P237" s="154">
        <v>0</v>
      </c>
      <c r="Q237" s="81"/>
      <c r="R237" s="80">
        <v>0</v>
      </c>
      <c r="S237" s="81"/>
      <c r="T237" s="78">
        <f t="shared" si="19"/>
        <v>0</v>
      </c>
      <c r="U237" s="79">
        <f t="shared" si="16"/>
        <v>0</v>
      </c>
      <c r="V237" s="80"/>
      <c r="W237" s="154">
        <v>0</v>
      </c>
      <c r="X237" s="80"/>
      <c r="Y237" s="154">
        <v>0</v>
      </c>
      <c r="Z237" s="80"/>
      <c r="AA237" s="80">
        <v>0</v>
      </c>
      <c r="AB237" s="80">
        <v>0</v>
      </c>
      <c r="AC237" s="154">
        <v>0</v>
      </c>
      <c r="AD237" s="154">
        <v>0</v>
      </c>
      <c r="AE237" s="81"/>
      <c r="AF237" s="80">
        <v>0</v>
      </c>
      <c r="AG237" s="81"/>
    </row>
    <row r="238" spans="1:33" s="44" customFormat="1" ht="15" customHeight="1">
      <c r="A238" s="3" t="s">
        <v>326</v>
      </c>
      <c r="B238" s="158" t="s">
        <v>346</v>
      </c>
      <c r="C238" s="1"/>
      <c r="D238" s="93">
        <v>405872</v>
      </c>
      <c r="E238" s="93">
        <v>9</v>
      </c>
      <c r="F238" s="78">
        <f t="shared" si="17"/>
        <v>65758</v>
      </c>
      <c r="G238" s="79">
        <f t="shared" si="18"/>
        <v>60502</v>
      </c>
      <c r="H238" s="80">
        <v>50625</v>
      </c>
      <c r="I238" s="154">
        <v>45513</v>
      </c>
      <c r="J238" s="80">
        <v>317</v>
      </c>
      <c r="K238" s="154">
        <v>686</v>
      </c>
      <c r="L238" s="80">
        <v>14738</v>
      </c>
      <c r="M238" s="80">
        <v>78</v>
      </c>
      <c r="N238" s="80">
        <v>0</v>
      </c>
      <c r="O238" s="154">
        <v>14267</v>
      </c>
      <c r="P238" s="154">
        <v>36</v>
      </c>
      <c r="Q238" s="81"/>
      <c r="R238" s="80">
        <v>0</v>
      </c>
      <c r="S238" s="81"/>
      <c r="T238" s="78">
        <f t="shared" si="19"/>
        <v>0</v>
      </c>
      <c r="U238" s="79">
        <f t="shared" si="16"/>
        <v>0</v>
      </c>
      <c r="V238" s="80"/>
      <c r="W238" s="154">
        <v>0</v>
      </c>
      <c r="X238" s="80"/>
      <c r="Y238" s="154">
        <v>0</v>
      </c>
      <c r="Z238" s="80"/>
      <c r="AA238" s="80">
        <v>0</v>
      </c>
      <c r="AB238" s="80">
        <v>0</v>
      </c>
      <c r="AC238" s="154">
        <v>0</v>
      </c>
      <c r="AD238" s="154">
        <v>0</v>
      </c>
      <c r="AE238" s="81"/>
      <c r="AF238" s="80">
        <v>0</v>
      </c>
      <c r="AG238" s="81"/>
    </row>
    <row r="239" spans="1:33" s="44" customFormat="1" ht="15" customHeight="1">
      <c r="A239" s="3" t="s">
        <v>326</v>
      </c>
      <c r="B239" s="2" t="s">
        <v>347</v>
      </c>
      <c r="C239" s="1"/>
      <c r="D239" s="93">
        <v>162557</v>
      </c>
      <c r="E239" s="93">
        <v>9</v>
      </c>
      <c r="F239" s="78">
        <f t="shared" si="17"/>
        <v>112300</v>
      </c>
      <c r="G239" s="79">
        <f t="shared" si="18"/>
        <v>113685</v>
      </c>
      <c r="H239" s="80">
        <v>80899</v>
      </c>
      <c r="I239" s="154">
        <v>81900</v>
      </c>
      <c r="J239" s="80">
        <v>8219</v>
      </c>
      <c r="K239" s="154">
        <v>7341</v>
      </c>
      <c r="L239" s="80">
        <v>23182</v>
      </c>
      <c r="M239" s="80">
        <v>0</v>
      </c>
      <c r="N239" s="80">
        <v>0</v>
      </c>
      <c r="O239" s="154">
        <v>24444</v>
      </c>
      <c r="P239" s="154">
        <v>0</v>
      </c>
      <c r="Q239" s="81"/>
      <c r="R239" s="80">
        <v>0</v>
      </c>
      <c r="S239" s="81"/>
      <c r="T239" s="78">
        <f t="shared" si="19"/>
        <v>0</v>
      </c>
      <c r="U239" s="79">
        <f t="shared" si="16"/>
        <v>0</v>
      </c>
      <c r="V239" s="80"/>
      <c r="W239" s="154">
        <v>0</v>
      </c>
      <c r="X239" s="80"/>
      <c r="Y239" s="154">
        <v>0</v>
      </c>
      <c r="Z239" s="80"/>
      <c r="AA239" s="80">
        <v>0</v>
      </c>
      <c r="AB239" s="80">
        <v>0</v>
      </c>
      <c r="AC239" s="154">
        <v>0</v>
      </c>
      <c r="AD239" s="154">
        <v>0</v>
      </c>
      <c r="AE239" s="81"/>
      <c r="AF239" s="80">
        <v>0</v>
      </c>
      <c r="AG239" s="81"/>
    </row>
    <row r="240" spans="1:33" s="44" customFormat="1" ht="15" customHeight="1">
      <c r="A240" s="3" t="s">
        <v>326</v>
      </c>
      <c r="B240" s="2" t="s">
        <v>348</v>
      </c>
      <c r="C240" s="1"/>
      <c r="D240" s="93">
        <v>162690</v>
      </c>
      <c r="E240" s="93">
        <v>9</v>
      </c>
      <c r="F240" s="78">
        <f t="shared" si="17"/>
        <v>80049</v>
      </c>
      <c r="G240" s="79">
        <f t="shared" si="18"/>
        <v>78222</v>
      </c>
      <c r="H240" s="80">
        <v>52238</v>
      </c>
      <c r="I240" s="154">
        <v>49296</v>
      </c>
      <c r="J240" s="80">
        <v>4931</v>
      </c>
      <c r="K240" s="154">
        <v>5092</v>
      </c>
      <c r="L240" s="80">
        <v>22831</v>
      </c>
      <c r="M240" s="80">
        <v>0</v>
      </c>
      <c r="N240" s="80">
        <v>0</v>
      </c>
      <c r="O240" s="154">
        <v>23773</v>
      </c>
      <c r="P240" s="154">
        <v>0</v>
      </c>
      <c r="Q240" s="81"/>
      <c r="R240" s="80">
        <v>49</v>
      </c>
      <c r="S240" s="81">
        <v>61</v>
      </c>
      <c r="T240" s="78">
        <f t="shared" si="19"/>
        <v>0</v>
      </c>
      <c r="U240" s="79">
        <f t="shared" si="16"/>
        <v>0</v>
      </c>
      <c r="V240" s="80"/>
      <c r="W240" s="154">
        <v>0</v>
      </c>
      <c r="X240" s="80"/>
      <c r="Y240" s="154">
        <v>0</v>
      </c>
      <c r="Z240" s="80"/>
      <c r="AA240" s="80">
        <v>0</v>
      </c>
      <c r="AB240" s="80">
        <v>0</v>
      </c>
      <c r="AC240" s="154">
        <v>0</v>
      </c>
      <c r="AD240" s="154">
        <v>0</v>
      </c>
      <c r="AE240" s="81"/>
      <c r="AF240" s="80">
        <v>0</v>
      </c>
      <c r="AG240" s="81"/>
    </row>
    <row r="241" spans="1:33" s="44" customFormat="1" ht="15" customHeight="1">
      <c r="A241" s="3" t="s">
        <v>326</v>
      </c>
      <c r="B241" s="2" t="s">
        <v>349</v>
      </c>
      <c r="C241" s="1"/>
      <c r="D241" s="93">
        <v>162706</v>
      </c>
      <c r="E241" s="93">
        <v>9</v>
      </c>
      <c r="F241" s="78">
        <f t="shared" si="17"/>
        <v>114204</v>
      </c>
      <c r="G241" s="79">
        <f t="shared" si="18"/>
        <v>112934.5</v>
      </c>
      <c r="H241" s="80">
        <v>77924</v>
      </c>
      <c r="I241" s="154">
        <v>72596.5</v>
      </c>
      <c r="J241" s="80">
        <v>1698</v>
      </c>
      <c r="K241" s="154">
        <v>2971</v>
      </c>
      <c r="L241" s="80">
        <v>34582</v>
      </c>
      <c r="M241" s="80">
        <v>0</v>
      </c>
      <c r="N241" s="80">
        <v>0</v>
      </c>
      <c r="O241" s="154">
        <v>37367</v>
      </c>
      <c r="P241" s="154">
        <v>0</v>
      </c>
      <c r="Q241" s="81"/>
      <c r="R241" s="80">
        <v>0</v>
      </c>
      <c r="S241" s="81"/>
      <c r="T241" s="78">
        <f t="shared" si="19"/>
        <v>0</v>
      </c>
      <c r="U241" s="79">
        <f t="shared" si="16"/>
        <v>0</v>
      </c>
      <c r="V241" s="80"/>
      <c r="W241" s="154">
        <v>0</v>
      </c>
      <c r="X241" s="80"/>
      <c r="Y241" s="154">
        <v>0</v>
      </c>
      <c r="Z241" s="80"/>
      <c r="AA241" s="80">
        <v>0</v>
      </c>
      <c r="AB241" s="80">
        <v>0</v>
      </c>
      <c r="AC241" s="154">
        <v>0</v>
      </c>
      <c r="AD241" s="154">
        <v>0</v>
      </c>
      <c r="AE241" s="81"/>
      <c r="AF241" s="80">
        <v>0</v>
      </c>
      <c r="AG241" s="81"/>
    </row>
    <row r="242" spans="1:33" s="44" customFormat="1" ht="15.75" customHeight="1">
      <c r="A242" s="3" t="s">
        <v>326</v>
      </c>
      <c r="B242" s="158" t="s">
        <v>350</v>
      </c>
      <c r="C242" s="156"/>
      <c r="D242" s="93">
        <v>164313</v>
      </c>
      <c r="E242" s="93">
        <v>10</v>
      </c>
      <c r="F242" s="78">
        <f t="shared" si="17"/>
        <v>54688</v>
      </c>
      <c r="G242" s="79">
        <f t="shared" si="18"/>
        <v>52756.5</v>
      </c>
      <c r="H242" s="80">
        <v>44647</v>
      </c>
      <c r="I242" s="154">
        <v>40409.5</v>
      </c>
      <c r="J242" s="80">
        <v>1797</v>
      </c>
      <c r="K242" s="154">
        <v>2401</v>
      </c>
      <c r="L242" s="80">
        <v>8211</v>
      </c>
      <c r="M242" s="80">
        <v>33</v>
      </c>
      <c r="N242" s="80">
        <v>0</v>
      </c>
      <c r="O242" s="154">
        <v>9871</v>
      </c>
      <c r="P242" s="154">
        <v>75</v>
      </c>
      <c r="Q242" s="81"/>
      <c r="R242" s="80">
        <v>0</v>
      </c>
      <c r="S242" s="81"/>
      <c r="T242" s="78">
        <f t="shared" si="19"/>
        <v>0</v>
      </c>
      <c r="U242" s="79">
        <f t="shared" si="16"/>
        <v>0</v>
      </c>
      <c r="V242" s="80"/>
      <c r="W242" s="154">
        <v>0</v>
      </c>
      <c r="X242" s="80"/>
      <c r="Y242" s="154">
        <v>0</v>
      </c>
      <c r="Z242" s="80"/>
      <c r="AA242" s="80">
        <v>0</v>
      </c>
      <c r="AB242" s="80">
        <v>0</v>
      </c>
      <c r="AC242" s="154">
        <v>0</v>
      </c>
      <c r="AD242" s="154">
        <v>0</v>
      </c>
      <c r="AE242" s="81"/>
      <c r="AF242" s="80">
        <v>0</v>
      </c>
      <c r="AG242" s="81"/>
    </row>
    <row r="243" spans="1:33" s="44" customFormat="1" ht="15" customHeight="1">
      <c r="A243" s="3" t="s">
        <v>326</v>
      </c>
      <c r="B243" s="2" t="s">
        <v>351</v>
      </c>
      <c r="C243" s="1"/>
      <c r="D243" s="93">
        <v>162104</v>
      </c>
      <c r="E243" s="93">
        <v>10</v>
      </c>
      <c r="F243" s="78">
        <f t="shared" si="17"/>
        <v>47713</v>
      </c>
      <c r="G243" s="79">
        <f t="shared" si="18"/>
        <v>45607</v>
      </c>
      <c r="H243" s="80">
        <v>34813</v>
      </c>
      <c r="I243" s="154">
        <v>32092</v>
      </c>
      <c r="J243" s="80">
        <v>1791</v>
      </c>
      <c r="K243" s="154">
        <v>2432</v>
      </c>
      <c r="L243" s="80">
        <v>11109</v>
      </c>
      <c r="M243" s="80">
        <v>0</v>
      </c>
      <c r="N243" s="80">
        <v>0</v>
      </c>
      <c r="O243" s="154">
        <v>11083</v>
      </c>
      <c r="P243" s="154">
        <v>0</v>
      </c>
      <c r="Q243" s="81"/>
      <c r="R243" s="80">
        <v>0</v>
      </c>
      <c r="S243" s="81"/>
      <c r="T243" s="78">
        <f t="shared" si="19"/>
        <v>0</v>
      </c>
      <c r="U243" s="79">
        <f t="shared" si="16"/>
        <v>0</v>
      </c>
      <c r="V243" s="80"/>
      <c r="W243" s="154">
        <v>0</v>
      </c>
      <c r="X243" s="80"/>
      <c r="Y243" s="154">
        <v>0</v>
      </c>
      <c r="Z243" s="80"/>
      <c r="AA243" s="80">
        <v>0</v>
      </c>
      <c r="AB243" s="80">
        <v>0</v>
      </c>
      <c r="AC243" s="154">
        <v>0</v>
      </c>
      <c r="AD243" s="154">
        <v>0</v>
      </c>
      <c r="AE243" s="81"/>
      <c r="AF243" s="80">
        <v>0</v>
      </c>
      <c r="AG243" s="81"/>
    </row>
    <row r="244" spans="1:33" s="44" customFormat="1" ht="15" customHeight="1">
      <c r="A244" s="3" t="s">
        <v>326</v>
      </c>
      <c r="B244" s="2" t="s">
        <v>352</v>
      </c>
      <c r="C244" s="1"/>
      <c r="D244" s="93">
        <v>162168</v>
      </c>
      <c r="E244" s="93">
        <v>10</v>
      </c>
      <c r="F244" s="78">
        <f t="shared" si="17"/>
        <v>37712</v>
      </c>
      <c r="G244" s="79">
        <f t="shared" si="18"/>
        <v>36291</v>
      </c>
      <c r="H244" s="80">
        <v>24108</v>
      </c>
      <c r="I244" s="154">
        <v>22028</v>
      </c>
      <c r="J244" s="80">
        <v>4101</v>
      </c>
      <c r="K244" s="154">
        <v>4117</v>
      </c>
      <c r="L244" s="80">
        <v>8495</v>
      </c>
      <c r="M244" s="80">
        <v>1008</v>
      </c>
      <c r="N244" s="80">
        <v>0</v>
      </c>
      <c r="O244" s="154">
        <v>9294</v>
      </c>
      <c r="P244" s="154">
        <v>852</v>
      </c>
      <c r="Q244" s="81"/>
      <c r="R244" s="80">
        <v>0</v>
      </c>
      <c r="S244" s="81"/>
      <c r="T244" s="78">
        <f t="shared" si="19"/>
        <v>0</v>
      </c>
      <c r="U244" s="79">
        <f t="shared" si="16"/>
        <v>0</v>
      </c>
      <c r="V244" s="80"/>
      <c r="W244" s="154">
        <v>0</v>
      </c>
      <c r="X244" s="80"/>
      <c r="Y244" s="154">
        <v>0</v>
      </c>
      <c r="Z244" s="80"/>
      <c r="AA244" s="80">
        <v>0</v>
      </c>
      <c r="AB244" s="80">
        <v>0</v>
      </c>
      <c r="AC244" s="154">
        <v>0</v>
      </c>
      <c r="AD244" s="154">
        <v>0</v>
      </c>
      <c r="AE244" s="81"/>
      <c r="AF244" s="80">
        <v>0</v>
      </c>
      <c r="AG244" s="81"/>
    </row>
    <row r="245" spans="1:33" s="44" customFormat="1" ht="15" customHeight="1">
      <c r="A245" s="3" t="s">
        <v>326</v>
      </c>
      <c r="B245" s="2" t="s">
        <v>353</v>
      </c>
      <c r="C245" s="1"/>
      <c r="D245" s="93">
        <v>162609</v>
      </c>
      <c r="E245" s="93">
        <v>10</v>
      </c>
      <c r="F245" s="78">
        <f t="shared" si="17"/>
        <v>17465</v>
      </c>
      <c r="G245" s="79">
        <f t="shared" si="18"/>
        <v>15301</v>
      </c>
      <c r="H245" s="80">
        <v>13827</v>
      </c>
      <c r="I245" s="154">
        <v>11996</v>
      </c>
      <c r="J245" s="80">
        <v>146</v>
      </c>
      <c r="K245" s="154">
        <v>116</v>
      </c>
      <c r="L245" s="80">
        <v>2910</v>
      </c>
      <c r="M245" s="80">
        <v>582</v>
      </c>
      <c r="N245" s="80">
        <v>0</v>
      </c>
      <c r="O245" s="154">
        <v>2793</v>
      </c>
      <c r="P245" s="154">
        <v>396</v>
      </c>
      <c r="Q245" s="81"/>
      <c r="R245" s="80">
        <v>0</v>
      </c>
      <c r="S245" s="81"/>
      <c r="T245" s="78">
        <f t="shared" si="19"/>
        <v>0</v>
      </c>
      <c r="U245" s="79">
        <f t="shared" si="16"/>
        <v>0</v>
      </c>
      <c r="V245" s="80"/>
      <c r="W245" s="154">
        <v>0</v>
      </c>
      <c r="X245" s="80"/>
      <c r="Y245" s="154">
        <v>0</v>
      </c>
      <c r="Z245" s="80"/>
      <c r="AA245" s="80">
        <v>0</v>
      </c>
      <c r="AB245" s="80">
        <v>0</v>
      </c>
      <c r="AC245" s="154">
        <v>0</v>
      </c>
      <c r="AD245" s="154">
        <v>0</v>
      </c>
      <c r="AE245" s="81"/>
      <c r="AF245" s="80">
        <v>0</v>
      </c>
      <c r="AG245" s="81"/>
    </row>
    <row r="246" spans="1:33" s="44" customFormat="1" ht="15" customHeight="1">
      <c r="A246" s="3" t="s">
        <v>326</v>
      </c>
      <c r="B246" s="2" t="s">
        <v>354</v>
      </c>
      <c r="C246" s="1"/>
      <c r="D246" s="93">
        <v>163204</v>
      </c>
      <c r="E246" s="93">
        <v>15</v>
      </c>
      <c r="F246" s="78">
        <f t="shared" si="17"/>
        <v>775760</v>
      </c>
      <c r="G246" s="79">
        <f t="shared" si="18"/>
        <v>793333</v>
      </c>
      <c r="H246" s="80">
        <v>0</v>
      </c>
      <c r="I246" s="154">
        <v>0</v>
      </c>
      <c r="J246" s="80">
        <v>50588</v>
      </c>
      <c r="K246" s="154">
        <v>44921</v>
      </c>
      <c r="L246" s="80">
        <v>725172</v>
      </c>
      <c r="M246" s="80">
        <v>0</v>
      </c>
      <c r="N246" s="80">
        <v>0</v>
      </c>
      <c r="O246" s="154">
        <v>748412</v>
      </c>
      <c r="P246" s="154">
        <v>0</v>
      </c>
      <c r="Q246" s="81"/>
      <c r="R246" s="80">
        <v>0</v>
      </c>
      <c r="S246" s="81"/>
      <c r="T246" s="78">
        <f t="shared" si="19"/>
        <v>186055</v>
      </c>
      <c r="U246" s="79">
        <f t="shared" si="16"/>
        <v>205005</v>
      </c>
      <c r="V246" s="80">
        <v>0</v>
      </c>
      <c r="W246" s="154">
        <v>0</v>
      </c>
      <c r="X246" s="80">
        <v>105</v>
      </c>
      <c r="Y246" s="154">
        <v>288</v>
      </c>
      <c r="Z246" s="80">
        <v>185950</v>
      </c>
      <c r="AA246" s="80">
        <v>0</v>
      </c>
      <c r="AB246" s="80">
        <v>0</v>
      </c>
      <c r="AC246" s="154">
        <v>204717</v>
      </c>
      <c r="AD246" s="154">
        <v>0</v>
      </c>
      <c r="AE246" s="81"/>
      <c r="AF246" s="80">
        <v>0</v>
      </c>
      <c r="AG246" s="81"/>
    </row>
    <row r="247" spans="1:33" s="44" customFormat="1" ht="15" customHeight="1">
      <c r="A247" s="94" t="s">
        <v>326</v>
      </c>
      <c r="B247" s="2" t="s">
        <v>355</v>
      </c>
      <c r="C247" s="1"/>
      <c r="D247" s="93">
        <v>163259</v>
      </c>
      <c r="E247" s="93">
        <v>15</v>
      </c>
      <c r="F247" s="78">
        <f t="shared" si="17"/>
        <v>21443</v>
      </c>
      <c r="G247" s="79">
        <f t="shared" si="18"/>
        <v>22683</v>
      </c>
      <c r="H247" s="80">
        <v>10931</v>
      </c>
      <c r="I247" s="154">
        <v>11428.5</v>
      </c>
      <c r="J247" s="80">
        <v>7116</v>
      </c>
      <c r="K247" s="154">
        <v>7076</v>
      </c>
      <c r="L247" s="80">
        <v>3306</v>
      </c>
      <c r="M247" s="80">
        <v>90</v>
      </c>
      <c r="N247" s="80">
        <v>0</v>
      </c>
      <c r="O247" s="154">
        <v>4178.5</v>
      </c>
      <c r="P247" s="154">
        <v>0</v>
      </c>
      <c r="Q247" s="81"/>
      <c r="R247" s="80">
        <v>0</v>
      </c>
      <c r="S247" s="81"/>
      <c r="T247" s="78">
        <f t="shared" si="19"/>
        <v>47155</v>
      </c>
      <c r="U247" s="79">
        <f t="shared" si="16"/>
        <v>50170</v>
      </c>
      <c r="V247" s="80">
        <v>23792</v>
      </c>
      <c r="W247" s="154">
        <v>27127</v>
      </c>
      <c r="X247" s="80">
        <v>7020</v>
      </c>
      <c r="Y247" s="154">
        <v>7115</v>
      </c>
      <c r="Z247" s="80">
        <v>16158</v>
      </c>
      <c r="AA247" s="80">
        <v>185</v>
      </c>
      <c r="AB247" s="80">
        <v>0</v>
      </c>
      <c r="AC247" s="154">
        <v>15807</v>
      </c>
      <c r="AD247" s="154">
        <v>121</v>
      </c>
      <c r="AE247" s="81"/>
      <c r="AF247" s="80">
        <v>0</v>
      </c>
      <c r="AG247" s="81"/>
    </row>
    <row r="248" spans="1:33" s="44" customFormat="1" ht="13.5" customHeight="1">
      <c r="A248" s="98" t="s">
        <v>358</v>
      </c>
      <c r="B248" s="99" t="s">
        <v>359</v>
      </c>
      <c r="C248" s="100"/>
      <c r="D248" s="101">
        <v>176080</v>
      </c>
      <c r="E248" s="101">
        <v>1</v>
      </c>
      <c r="F248" s="78">
        <f t="shared" si="17"/>
        <v>496999</v>
      </c>
      <c r="G248" s="79">
        <f t="shared" si="18"/>
        <v>513921</v>
      </c>
      <c r="H248" s="80">
        <v>455685</v>
      </c>
      <c r="I248" s="81">
        <v>470636</v>
      </c>
      <c r="J248" s="80">
        <v>10776</v>
      </c>
      <c r="K248" s="81">
        <v>10723</v>
      </c>
      <c r="L248" s="80">
        <v>30358</v>
      </c>
      <c r="M248" s="80">
        <v>180</v>
      </c>
      <c r="N248" s="80"/>
      <c r="O248" s="81">
        <v>32413</v>
      </c>
      <c r="P248" s="81">
        <v>147</v>
      </c>
      <c r="Q248" s="81"/>
      <c r="R248" s="80"/>
      <c r="S248" s="81">
        <v>2</v>
      </c>
      <c r="T248" s="78">
        <f t="shared" si="19"/>
        <v>55118</v>
      </c>
      <c r="U248" s="79">
        <f t="shared" si="16"/>
        <v>55256</v>
      </c>
      <c r="V248" s="80">
        <v>39765</v>
      </c>
      <c r="W248" s="81">
        <v>39557</v>
      </c>
      <c r="X248" s="80">
        <v>1507</v>
      </c>
      <c r="Y248" s="81">
        <v>1516</v>
      </c>
      <c r="Z248" s="80">
        <v>13311</v>
      </c>
      <c r="AA248" s="80">
        <v>535</v>
      </c>
      <c r="AB248" s="80"/>
      <c r="AC248" s="81">
        <v>13752</v>
      </c>
      <c r="AD248" s="81">
        <v>413</v>
      </c>
      <c r="AE248" s="81"/>
      <c r="AF248" s="80">
        <v>0</v>
      </c>
      <c r="AG248" s="81">
        <v>18</v>
      </c>
    </row>
    <row r="249" spans="1:33">
      <c r="A249" s="98" t="s">
        <v>358</v>
      </c>
      <c r="B249" s="99" t="s">
        <v>360</v>
      </c>
      <c r="C249" s="100"/>
      <c r="D249" s="101">
        <v>176372</v>
      </c>
      <c r="E249" s="101">
        <v>1</v>
      </c>
      <c r="F249" s="78">
        <f t="shared" si="17"/>
        <v>323011</v>
      </c>
      <c r="G249" s="79">
        <f t="shared" si="18"/>
        <v>326683</v>
      </c>
      <c r="H249" s="80">
        <v>217621</v>
      </c>
      <c r="I249" s="81">
        <v>208669</v>
      </c>
      <c r="J249" s="80">
        <v>33058</v>
      </c>
      <c r="K249" s="81">
        <v>29740</v>
      </c>
      <c r="L249" s="80">
        <v>66688</v>
      </c>
      <c r="M249" s="80">
        <v>5644</v>
      </c>
      <c r="N249" s="80"/>
      <c r="O249" s="81">
        <v>82614</v>
      </c>
      <c r="P249" s="81">
        <v>5660</v>
      </c>
      <c r="Q249" s="81"/>
      <c r="R249" s="80"/>
      <c r="S249" s="81"/>
      <c r="T249" s="78">
        <f t="shared" si="19"/>
        <v>52989</v>
      </c>
      <c r="U249" s="79">
        <f t="shared" si="16"/>
        <v>51846</v>
      </c>
      <c r="V249" s="80">
        <v>31781</v>
      </c>
      <c r="W249" s="81">
        <v>29570</v>
      </c>
      <c r="X249" s="80">
        <v>4618</v>
      </c>
      <c r="Y249" s="81">
        <v>4467</v>
      </c>
      <c r="Z249" s="80">
        <v>15795</v>
      </c>
      <c r="AA249" s="80">
        <v>641</v>
      </c>
      <c r="AB249" s="80"/>
      <c r="AC249" s="81">
        <v>16896</v>
      </c>
      <c r="AD249" s="81">
        <v>841</v>
      </c>
      <c r="AE249" s="81"/>
      <c r="AF249" s="80">
        <v>154</v>
      </c>
      <c r="AG249" s="81">
        <v>72</v>
      </c>
    </row>
    <row r="250" spans="1:33">
      <c r="A250" s="98" t="s">
        <v>358</v>
      </c>
      <c r="B250" s="99" t="s">
        <v>361</v>
      </c>
      <c r="C250" s="100"/>
      <c r="D250" s="101">
        <v>175856</v>
      </c>
      <c r="E250" s="101">
        <v>2</v>
      </c>
      <c r="F250" s="78">
        <f t="shared" si="17"/>
        <v>170044</v>
      </c>
      <c r="G250" s="79">
        <f t="shared" si="18"/>
        <v>160290</v>
      </c>
      <c r="H250" s="80">
        <v>122687</v>
      </c>
      <c r="I250" s="81">
        <v>111456</v>
      </c>
      <c r="J250" s="80">
        <v>5119</v>
      </c>
      <c r="K250" s="81">
        <v>3577</v>
      </c>
      <c r="L250" s="80">
        <v>42238</v>
      </c>
      <c r="M250" s="80"/>
      <c r="N250" s="80"/>
      <c r="O250" s="81">
        <v>45257</v>
      </c>
      <c r="P250" s="81"/>
      <c r="Q250" s="81"/>
      <c r="R250" s="80"/>
      <c r="S250" s="81"/>
      <c r="T250" s="78">
        <f t="shared" si="19"/>
        <v>34076</v>
      </c>
      <c r="U250" s="79">
        <f t="shared" si="16"/>
        <v>31757</v>
      </c>
      <c r="V250" s="80">
        <v>11837</v>
      </c>
      <c r="W250" s="81">
        <v>11115</v>
      </c>
      <c r="X250" s="80">
        <v>8720</v>
      </c>
      <c r="Y250" s="81">
        <v>6525</v>
      </c>
      <c r="Z250" s="80">
        <v>13519</v>
      </c>
      <c r="AA250" s="80"/>
      <c r="AB250" s="80"/>
      <c r="AC250" s="81">
        <v>14117</v>
      </c>
      <c r="AD250" s="81"/>
      <c r="AE250" s="81"/>
      <c r="AF250" s="80"/>
      <c r="AG250" s="81"/>
    </row>
    <row r="251" spans="1:33" s="44" customFormat="1" ht="15" customHeight="1">
      <c r="A251" s="98" t="s">
        <v>358</v>
      </c>
      <c r="B251" s="99" t="s">
        <v>362</v>
      </c>
      <c r="C251" s="160" t="s">
        <v>367</v>
      </c>
      <c r="D251" s="101">
        <v>176017</v>
      </c>
      <c r="E251" s="101">
        <v>2</v>
      </c>
      <c r="F251" s="78">
        <f t="shared" si="17"/>
        <v>559059</v>
      </c>
      <c r="G251" s="79">
        <f t="shared" si="18"/>
        <v>565459</v>
      </c>
      <c r="H251" s="80">
        <v>471885</v>
      </c>
      <c r="I251" s="81">
        <v>466806</v>
      </c>
      <c r="J251" s="80">
        <v>40657</v>
      </c>
      <c r="K251" s="81">
        <v>35887</v>
      </c>
      <c r="L251" s="80">
        <v>33593</v>
      </c>
      <c r="M251" s="80">
        <v>11736</v>
      </c>
      <c r="N251" s="80"/>
      <c r="O251" s="81">
        <v>48966</v>
      </c>
      <c r="P251" s="81">
        <v>11193</v>
      </c>
      <c r="Q251" s="81"/>
      <c r="R251" s="80">
        <v>1188</v>
      </c>
      <c r="S251" s="81">
        <v>2607</v>
      </c>
      <c r="T251" s="78">
        <f t="shared" si="19"/>
        <v>65669</v>
      </c>
      <c r="U251" s="79">
        <f t="shared" si="16"/>
        <v>66244</v>
      </c>
      <c r="V251" s="80">
        <v>58244</v>
      </c>
      <c r="W251" s="81">
        <v>57755</v>
      </c>
      <c r="X251" s="80">
        <v>492</v>
      </c>
      <c r="Y251" s="81">
        <v>954</v>
      </c>
      <c r="Z251" s="80">
        <v>6141</v>
      </c>
      <c r="AA251" s="80">
        <v>771</v>
      </c>
      <c r="AB251" s="80"/>
      <c r="AC251" s="81">
        <v>6758</v>
      </c>
      <c r="AD251" s="81">
        <v>753</v>
      </c>
      <c r="AE251" s="81"/>
      <c r="AF251" s="80">
        <v>21</v>
      </c>
      <c r="AG251" s="81">
        <v>24</v>
      </c>
    </row>
    <row r="252" spans="1:33">
      <c r="A252" s="98" t="s">
        <v>358</v>
      </c>
      <c r="B252" s="99" t="s">
        <v>363</v>
      </c>
      <c r="C252" s="100"/>
      <c r="D252" s="101">
        <v>175342</v>
      </c>
      <c r="E252" s="101">
        <v>4</v>
      </c>
      <c r="F252" s="78">
        <f t="shared" si="17"/>
        <v>80850</v>
      </c>
      <c r="G252" s="79">
        <f t="shared" si="18"/>
        <v>89132</v>
      </c>
      <c r="H252" s="80">
        <v>59867</v>
      </c>
      <c r="I252" s="81">
        <v>62316</v>
      </c>
      <c r="J252" s="80">
        <v>2845</v>
      </c>
      <c r="K252" s="81">
        <v>2778</v>
      </c>
      <c r="L252" s="80">
        <v>18138</v>
      </c>
      <c r="M252" s="80"/>
      <c r="N252" s="80"/>
      <c r="O252" s="81">
        <v>24038</v>
      </c>
      <c r="P252" s="81"/>
      <c r="Q252" s="81"/>
      <c r="R252" s="80"/>
      <c r="S252" s="81"/>
      <c r="T252" s="78">
        <f t="shared" si="19"/>
        <v>10251</v>
      </c>
      <c r="U252" s="79">
        <f t="shared" si="16"/>
        <v>9500</v>
      </c>
      <c r="V252" s="80">
        <v>2341</v>
      </c>
      <c r="W252" s="81">
        <v>2078</v>
      </c>
      <c r="X252" s="80">
        <v>240</v>
      </c>
      <c r="Y252" s="81">
        <v>87</v>
      </c>
      <c r="Z252" s="80">
        <v>7670</v>
      </c>
      <c r="AA252" s="80"/>
      <c r="AB252" s="80">
        <v>0</v>
      </c>
      <c r="AC252" s="81">
        <v>7335</v>
      </c>
      <c r="AD252" s="81"/>
      <c r="AE252" s="81"/>
      <c r="AF252" s="80"/>
      <c r="AG252" s="81"/>
    </row>
    <row r="253" spans="1:33">
      <c r="A253" s="98" t="s">
        <v>358</v>
      </c>
      <c r="B253" s="99" t="s">
        <v>364</v>
      </c>
      <c r="C253" s="100"/>
      <c r="D253" s="101">
        <v>175616</v>
      </c>
      <c r="E253" s="101">
        <v>4</v>
      </c>
      <c r="F253" s="78">
        <f t="shared" si="17"/>
        <v>73173</v>
      </c>
      <c r="G253" s="79">
        <f t="shared" si="18"/>
        <v>72849</v>
      </c>
      <c r="H253" s="80">
        <v>56141</v>
      </c>
      <c r="I253" s="81">
        <v>55089</v>
      </c>
      <c r="J253" s="80">
        <v>1872</v>
      </c>
      <c r="K253" s="81">
        <v>3737</v>
      </c>
      <c r="L253" s="80">
        <v>15055</v>
      </c>
      <c r="M253" s="80"/>
      <c r="N253" s="80">
        <v>105</v>
      </c>
      <c r="O253" s="81">
        <v>14023</v>
      </c>
      <c r="P253" s="81"/>
      <c r="Q253" s="81"/>
      <c r="R253" s="80"/>
      <c r="S253" s="81"/>
      <c r="T253" s="78">
        <f t="shared" si="19"/>
        <v>24754</v>
      </c>
      <c r="U253" s="79">
        <f t="shared" si="16"/>
        <v>22657</v>
      </c>
      <c r="V253" s="80">
        <v>3102</v>
      </c>
      <c r="W253" s="81">
        <v>3272</v>
      </c>
      <c r="X253" s="80">
        <v>231</v>
      </c>
      <c r="Y253" s="81"/>
      <c r="Z253" s="80">
        <v>21367</v>
      </c>
      <c r="AA253" s="80"/>
      <c r="AB253" s="80">
        <v>54</v>
      </c>
      <c r="AC253" s="81">
        <v>19355</v>
      </c>
      <c r="AD253" s="81"/>
      <c r="AE253" s="81">
        <v>30</v>
      </c>
      <c r="AF253" s="80"/>
      <c r="AG253" s="81"/>
    </row>
    <row r="254" spans="1:33">
      <c r="A254" s="98" t="s">
        <v>358</v>
      </c>
      <c r="B254" s="99" t="s">
        <v>365</v>
      </c>
      <c r="C254" s="100"/>
      <c r="D254" s="101">
        <v>176044</v>
      </c>
      <c r="E254" s="101">
        <v>4</v>
      </c>
      <c r="F254" s="78">
        <f t="shared" si="17"/>
        <v>53785</v>
      </c>
      <c r="G254" s="79">
        <f t="shared" si="18"/>
        <v>52906</v>
      </c>
      <c r="H254" s="80">
        <v>45169</v>
      </c>
      <c r="I254" s="81">
        <v>39897</v>
      </c>
      <c r="J254" s="80">
        <v>1674</v>
      </c>
      <c r="K254" s="81">
        <v>477</v>
      </c>
      <c r="L254" s="80">
        <v>6081</v>
      </c>
      <c r="M254" s="80"/>
      <c r="N254" s="80"/>
      <c r="O254" s="81">
        <v>11749</v>
      </c>
      <c r="P254" s="81"/>
      <c r="Q254" s="81"/>
      <c r="R254" s="80">
        <v>861</v>
      </c>
      <c r="S254" s="81">
        <v>783</v>
      </c>
      <c r="T254" s="78">
        <f t="shared" si="19"/>
        <v>5814</v>
      </c>
      <c r="U254" s="79">
        <f t="shared" si="16"/>
        <v>6695</v>
      </c>
      <c r="V254" s="80">
        <v>4014</v>
      </c>
      <c r="W254" s="81">
        <v>2607</v>
      </c>
      <c r="X254" s="80">
        <v>87</v>
      </c>
      <c r="Y254" s="81">
        <v>96</v>
      </c>
      <c r="Z254" s="80">
        <v>1608</v>
      </c>
      <c r="AA254" s="80"/>
      <c r="AB254" s="80"/>
      <c r="AC254" s="81">
        <v>3938</v>
      </c>
      <c r="AD254" s="81"/>
      <c r="AE254" s="81"/>
      <c r="AF254" s="80">
        <v>105</v>
      </c>
      <c r="AG254" s="81">
        <v>54</v>
      </c>
    </row>
    <row r="255" spans="1:33">
      <c r="A255" s="159" t="s">
        <v>358</v>
      </c>
      <c r="B255" s="99" t="s">
        <v>366</v>
      </c>
      <c r="C255" s="100" t="s">
        <v>140</v>
      </c>
      <c r="D255" s="101">
        <v>176035</v>
      </c>
      <c r="E255" s="101">
        <v>5</v>
      </c>
      <c r="F255" s="78">
        <f t="shared" si="17"/>
        <v>71262</v>
      </c>
      <c r="G255" s="79">
        <f t="shared" si="18"/>
        <v>71874</v>
      </c>
      <c r="H255" s="80">
        <v>35589</v>
      </c>
      <c r="I255" s="81">
        <v>34783</v>
      </c>
      <c r="J255" s="80">
        <v>152</v>
      </c>
      <c r="K255" s="81">
        <v>107</v>
      </c>
      <c r="L255" s="80">
        <v>35521</v>
      </c>
      <c r="M255" s="80"/>
      <c r="N255" s="80"/>
      <c r="O255" s="81">
        <v>36984</v>
      </c>
      <c r="P255" s="81"/>
      <c r="Q255" s="81"/>
      <c r="R255" s="80"/>
      <c r="S255" s="81"/>
      <c r="T255" s="78">
        <f t="shared" si="19"/>
        <v>4839</v>
      </c>
      <c r="U255" s="79">
        <f t="shared" si="16"/>
        <v>4648</v>
      </c>
      <c r="V255" s="80">
        <v>2561</v>
      </c>
      <c r="W255" s="81">
        <v>2502</v>
      </c>
      <c r="X255" s="80">
        <v>464</v>
      </c>
      <c r="Y255" s="81">
        <v>561</v>
      </c>
      <c r="Z255" s="80">
        <v>1814</v>
      </c>
      <c r="AA255" s="80"/>
      <c r="AB255" s="80"/>
      <c r="AC255" s="81">
        <v>1585</v>
      </c>
      <c r="AD255" s="81"/>
      <c r="AE255" s="81"/>
      <c r="AF255" s="80"/>
      <c r="AG255" s="81"/>
    </row>
    <row r="256" spans="1:33" s="44" customFormat="1" ht="13.5" customHeight="1">
      <c r="A256" s="161" t="s">
        <v>358</v>
      </c>
      <c r="B256" s="103" t="s">
        <v>368</v>
      </c>
      <c r="C256" s="104"/>
      <c r="D256" s="162">
        <v>175786</v>
      </c>
      <c r="E256" s="163">
        <v>8</v>
      </c>
      <c r="F256" s="78">
        <f t="shared" si="17"/>
        <v>295516</v>
      </c>
      <c r="G256" s="79">
        <f t="shared" si="18"/>
        <v>290976</v>
      </c>
      <c r="H256" s="80">
        <v>225107</v>
      </c>
      <c r="I256" s="81">
        <v>217813</v>
      </c>
      <c r="J256" s="80">
        <v>12040</v>
      </c>
      <c r="K256" s="81">
        <v>13134</v>
      </c>
      <c r="L256" s="80">
        <v>58369</v>
      </c>
      <c r="M256" s="80"/>
      <c r="N256" s="80"/>
      <c r="O256" s="81">
        <v>60029</v>
      </c>
      <c r="P256" s="81"/>
      <c r="Q256" s="81"/>
      <c r="R256" s="80"/>
      <c r="S256" s="81"/>
      <c r="T256" s="78">
        <f t="shared" si="19"/>
        <v>0</v>
      </c>
      <c r="U256" s="79">
        <f t="shared" si="16"/>
        <v>0</v>
      </c>
      <c r="V256" s="80"/>
      <c r="W256" s="81"/>
      <c r="X256" s="80"/>
      <c r="Y256" s="81"/>
      <c r="Z256" s="80"/>
      <c r="AA256" s="80"/>
      <c r="AB256" s="80"/>
      <c r="AC256" s="81"/>
      <c r="AD256" s="81"/>
      <c r="AE256" s="81"/>
      <c r="AF256" s="80"/>
      <c r="AG256" s="81"/>
    </row>
    <row r="257" spans="1:33">
      <c r="A257" s="161" t="s">
        <v>358</v>
      </c>
      <c r="B257" s="103" t="s">
        <v>369</v>
      </c>
      <c r="C257" s="104" t="s">
        <v>324</v>
      </c>
      <c r="D257" s="162">
        <v>175829</v>
      </c>
      <c r="E257" s="162">
        <v>8</v>
      </c>
      <c r="F257" s="78">
        <f t="shared" si="17"/>
        <v>151176</v>
      </c>
      <c r="G257" s="79">
        <f t="shared" si="18"/>
        <v>142164</v>
      </c>
      <c r="H257" s="80">
        <v>91224</v>
      </c>
      <c r="I257" s="81">
        <v>86061</v>
      </c>
      <c r="J257" s="80">
        <v>5389</v>
      </c>
      <c r="K257" s="81">
        <v>4986</v>
      </c>
      <c r="L257" s="80">
        <v>54563</v>
      </c>
      <c r="M257" s="80"/>
      <c r="N257" s="80"/>
      <c r="O257" s="81">
        <v>51117</v>
      </c>
      <c r="P257" s="81"/>
      <c r="Q257" s="81"/>
      <c r="R257" s="80"/>
      <c r="S257" s="81"/>
      <c r="T257" s="78">
        <f t="shared" si="19"/>
        <v>0</v>
      </c>
      <c r="U257" s="79">
        <f t="shared" si="16"/>
        <v>0</v>
      </c>
      <c r="V257" s="80"/>
      <c r="W257" s="81"/>
      <c r="X257" s="80"/>
      <c r="Y257" s="81"/>
      <c r="Z257" s="80"/>
      <c r="AA257" s="80"/>
      <c r="AB257" s="80"/>
      <c r="AC257" s="81"/>
      <c r="AD257" s="81"/>
      <c r="AE257" s="81"/>
      <c r="AF257" s="80"/>
      <c r="AG257" s="81"/>
    </row>
    <row r="258" spans="1:33">
      <c r="A258" s="161" t="s">
        <v>358</v>
      </c>
      <c r="B258" s="103" t="s">
        <v>370</v>
      </c>
      <c r="C258" s="104"/>
      <c r="D258" s="162">
        <v>176071</v>
      </c>
      <c r="E258" s="105">
        <v>8</v>
      </c>
      <c r="F258" s="78">
        <f t="shared" si="17"/>
        <v>233664</v>
      </c>
      <c r="G258" s="79">
        <f t="shared" si="18"/>
        <v>229650</v>
      </c>
      <c r="H258" s="80">
        <v>158146</v>
      </c>
      <c r="I258" s="81">
        <v>154030</v>
      </c>
      <c r="J258" s="80">
        <v>8947</v>
      </c>
      <c r="K258" s="81">
        <v>8513</v>
      </c>
      <c r="L258" s="80">
        <v>66571</v>
      </c>
      <c r="M258" s="80"/>
      <c r="N258" s="80"/>
      <c r="O258" s="81">
        <v>67107</v>
      </c>
      <c r="P258" s="81"/>
      <c r="Q258" s="81"/>
      <c r="R258" s="80"/>
      <c r="S258" s="81"/>
      <c r="T258" s="78">
        <f t="shared" si="19"/>
        <v>0</v>
      </c>
      <c r="U258" s="79">
        <f t="shared" si="16"/>
        <v>0</v>
      </c>
      <c r="V258" s="80"/>
      <c r="W258" s="81"/>
      <c r="X258" s="80"/>
      <c r="Y258" s="81"/>
      <c r="Z258" s="80"/>
      <c r="AA258" s="80"/>
      <c r="AB258" s="80"/>
      <c r="AC258" s="81"/>
      <c r="AD258" s="81"/>
      <c r="AE258" s="81"/>
      <c r="AF258" s="80"/>
      <c r="AG258" s="81"/>
    </row>
    <row r="259" spans="1:33">
      <c r="A259" s="161" t="s">
        <v>358</v>
      </c>
      <c r="B259" s="103" t="s">
        <v>371</v>
      </c>
      <c r="C259" s="104"/>
      <c r="D259" s="162">
        <v>176178</v>
      </c>
      <c r="E259" s="105">
        <v>8</v>
      </c>
      <c r="F259" s="78">
        <f t="shared" si="17"/>
        <v>198297</v>
      </c>
      <c r="G259" s="79">
        <f t="shared" si="18"/>
        <v>195873</v>
      </c>
      <c r="H259" s="80">
        <v>155314</v>
      </c>
      <c r="I259" s="81">
        <v>153888</v>
      </c>
      <c r="J259" s="80">
        <v>0</v>
      </c>
      <c r="K259" s="81">
        <v>0</v>
      </c>
      <c r="L259" s="80">
        <v>42983</v>
      </c>
      <c r="M259" s="80"/>
      <c r="N259" s="80"/>
      <c r="O259" s="81">
        <v>41985</v>
      </c>
      <c r="P259" s="81"/>
      <c r="Q259" s="81"/>
      <c r="R259" s="80"/>
      <c r="S259" s="81"/>
      <c r="T259" s="78">
        <f t="shared" si="19"/>
        <v>0</v>
      </c>
      <c r="U259" s="79">
        <f t="shared" si="16"/>
        <v>0</v>
      </c>
      <c r="V259" s="80"/>
      <c r="W259" s="81"/>
      <c r="X259" s="80"/>
      <c r="Y259" s="81"/>
      <c r="Z259" s="80"/>
      <c r="AA259" s="80"/>
      <c r="AB259" s="80"/>
      <c r="AC259" s="81"/>
      <c r="AD259" s="81"/>
      <c r="AE259" s="81"/>
      <c r="AF259" s="80"/>
      <c r="AG259" s="81"/>
    </row>
    <row r="260" spans="1:33">
      <c r="A260" s="161" t="s">
        <v>358</v>
      </c>
      <c r="B260" s="103" t="s">
        <v>372</v>
      </c>
      <c r="C260" s="104"/>
      <c r="D260" s="162">
        <v>175573</v>
      </c>
      <c r="E260" s="163">
        <v>9</v>
      </c>
      <c r="F260" s="78">
        <f t="shared" si="17"/>
        <v>81798</v>
      </c>
      <c r="G260" s="79">
        <f t="shared" si="18"/>
        <v>80632</v>
      </c>
      <c r="H260" s="80">
        <v>52061</v>
      </c>
      <c r="I260" s="81">
        <v>49820</v>
      </c>
      <c r="J260" s="80">
        <v>6220</v>
      </c>
      <c r="K260" s="81">
        <v>5330</v>
      </c>
      <c r="L260" s="80">
        <v>23517</v>
      </c>
      <c r="M260" s="80"/>
      <c r="N260" s="80"/>
      <c r="O260" s="81">
        <v>25482</v>
      </c>
      <c r="P260" s="81"/>
      <c r="Q260" s="81"/>
      <c r="R260" s="80"/>
      <c r="S260" s="81"/>
      <c r="T260" s="78">
        <f t="shared" si="19"/>
        <v>0</v>
      </c>
      <c r="U260" s="79">
        <f t="shared" si="16"/>
        <v>0</v>
      </c>
      <c r="V260" s="80"/>
      <c r="W260" s="81"/>
      <c r="X260" s="80"/>
      <c r="Y260" s="81"/>
      <c r="Z260" s="80"/>
      <c r="AA260" s="80"/>
      <c r="AB260" s="80"/>
      <c r="AC260" s="81"/>
      <c r="AD260" s="81"/>
      <c r="AE260" s="81"/>
      <c r="AF260" s="80"/>
      <c r="AG260" s="81"/>
    </row>
    <row r="261" spans="1:33">
      <c r="A261" s="161" t="s">
        <v>358</v>
      </c>
      <c r="B261" s="103" t="s">
        <v>373</v>
      </c>
      <c r="C261" s="104"/>
      <c r="D261" s="162">
        <v>175643</v>
      </c>
      <c r="E261" s="105">
        <v>9</v>
      </c>
      <c r="F261" s="78">
        <f t="shared" si="17"/>
        <v>69193</v>
      </c>
      <c r="G261" s="79">
        <f t="shared" si="18"/>
        <v>68978</v>
      </c>
      <c r="H261" s="80">
        <v>47824</v>
      </c>
      <c r="I261" s="81">
        <v>46624</v>
      </c>
      <c r="J261" s="80">
        <v>2930</v>
      </c>
      <c r="K261" s="81">
        <v>3387</v>
      </c>
      <c r="L261" s="80">
        <v>18439</v>
      </c>
      <c r="M261" s="80"/>
      <c r="N261" s="80"/>
      <c r="O261" s="81">
        <v>18967</v>
      </c>
      <c r="P261" s="81"/>
      <c r="Q261" s="81"/>
      <c r="R261" s="80"/>
      <c r="S261" s="81"/>
      <c r="T261" s="78">
        <f t="shared" si="19"/>
        <v>0</v>
      </c>
      <c r="U261" s="79">
        <f t="shared" si="16"/>
        <v>0</v>
      </c>
      <c r="V261" s="80"/>
      <c r="W261" s="81"/>
      <c r="X261" s="80"/>
      <c r="Y261" s="81"/>
      <c r="Z261" s="80"/>
      <c r="AA261" s="80"/>
      <c r="AB261" s="80"/>
      <c r="AC261" s="81"/>
      <c r="AD261" s="81"/>
      <c r="AE261" s="81"/>
      <c r="AF261" s="80"/>
      <c r="AG261" s="81"/>
    </row>
    <row r="262" spans="1:33">
      <c r="A262" s="161" t="s">
        <v>358</v>
      </c>
      <c r="B262" s="103" t="s">
        <v>374</v>
      </c>
      <c r="C262" s="104"/>
      <c r="D262" s="162">
        <v>175652</v>
      </c>
      <c r="E262" s="105">
        <v>9</v>
      </c>
      <c r="F262" s="78">
        <f t="shared" si="17"/>
        <v>114128</v>
      </c>
      <c r="G262" s="79">
        <f t="shared" si="18"/>
        <v>109962</v>
      </c>
      <c r="H262" s="80">
        <v>72960</v>
      </c>
      <c r="I262" s="81">
        <v>71747</v>
      </c>
      <c r="J262" s="80">
        <v>2253</v>
      </c>
      <c r="K262" s="81">
        <v>2277</v>
      </c>
      <c r="L262" s="80">
        <v>38915</v>
      </c>
      <c r="M262" s="80"/>
      <c r="N262" s="80"/>
      <c r="O262" s="81">
        <v>35938</v>
      </c>
      <c r="P262" s="81"/>
      <c r="Q262" s="81"/>
      <c r="R262" s="80"/>
      <c r="S262" s="81"/>
      <c r="T262" s="78">
        <f t="shared" si="19"/>
        <v>0</v>
      </c>
      <c r="U262" s="79">
        <f t="shared" si="16"/>
        <v>0</v>
      </c>
      <c r="V262" s="80"/>
      <c r="W262" s="81"/>
      <c r="X262" s="80"/>
      <c r="Y262" s="81"/>
      <c r="Z262" s="80"/>
      <c r="AA262" s="80"/>
      <c r="AB262" s="80"/>
      <c r="AC262" s="81"/>
      <c r="AD262" s="81"/>
      <c r="AE262" s="81"/>
      <c r="AF262" s="80"/>
      <c r="AG262" s="81"/>
    </row>
    <row r="263" spans="1:33">
      <c r="A263" s="161" t="s">
        <v>358</v>
      </c>
      <c r="B263" s="103" t="s">
        <v>375</v>
      </c>
      <c r="C263" s="108" t="s">
        <v>383</v>
      </c>
      <c r="D263" s="162">
        <v>175810</v>
      </c>
      <c r="E263" s="111">
        <v>8</v>
      </c>
      <c r="F263" s="78">
        <f t="shared" si="17"/>
        <v>159839</v>
      </c>
      <c r="G263" s="79">
        <f t="shared" si="18"/>
        <v>161853</v>
      </c>
      <c r="H263" s="80">
        <v>94903</v>
      </c>
      <c r="I263" s="81">
        <v>95861</v>
      </c>
      <c r="J263" s="80">
        <v>4997</v>
      </c>
      <c r="K263" s="81">
        <v>6275</v>
      </c>
      <c r="L263" s="80">
        <v>59939</v>
      </c>
      <c r="M263" s="80"/>
      <c r="N263" s="80"/>
      <c r="O263" s="81">
        <v>59717</v>
      </c>
      <c r="P263" s="81"/>
      <c r="Q263" s="81"/>
      <c r="R263" s="80"/>
      <c r="S263" s="81"/>
      <c r="T263" s="78">
        <f t="shared" si="19"/>
        <v>0</v>
      </c>
      <c r="U263" s="79">
        <f t="shared" si="16"/>
        <v>0</v>
      </c>
      <c r="V263" s="80"/>
      <c r="W263" s="81"/>
      <c r="X263" s="80"/>
      <c r="Y263" s="81"/>
      <c r="Z263" s="80"/>
      <c r="AA263" s="80"/>
      <c r="AB263" s="80"/>
      <c r="AC263" s="81"/>
      <c r="AD263" s="81"/>
      <c r="AE263" s="81"/>
      <c r="AF263" s="80"/>
      <c r="AG263" s="81"/>
    </row>
    <row r="264" spans="1:33">
      <c r="A264" s="161" t="s">
        <v>358</v>
      </c>
      <c r="B264" s="103" t="s">
        <v>376</v>
      </c>
      <c r="C264" s="104"/>
      <c r="D264" s="162">
        <v>175883</v>
      </c>
      <c r="E264" s="105">
        <v>9</v>
      </c>
      <c r="F264" s="78">
        <f t="shared" si="17"/>
        <v>138228</v>
      </c>
      <c r="G264" s="79">
        <f t="shared" si="18"/>
        <v>132964</v>
      </c>
      <c r="H264" s="80">
        <v>109055</v>
      </c>
      <c r="I264" s="81">
        <v>104744</v>
      </c>
      <c r="J264" s="80">
        <v>0</v>
      </c>
      <c r="K264" s="81">
        <v>0</v>
      </c>
      <c r="L264" s="80">
        <v>29173</v>
      </c>
      <c r="M264" s="80"/>
      <c r="N264" s="80"/>
      <c r="O264" s="81">
        <v>28220</v>
      </c>
      <c r="P264" s="81"/>
      <c r="Q264" s="81"/>
      <c r="R264" s="80"/>
      <c r="S264" s="81"/>
      <c r="T264" s="78">
        <f t="shared" si="19"/>
        <v>0</v>
      </c>
      <c r="U264" s="79">
        <f t="shared" si="16"/>
        <v>0</v>
      </c>
      <c r="V264" s="80"/>
      <c r="W264" s="81"/>
      <c r="X264" s="80"/>
      <c r="Y264" s="81"/>
      <c r="Z264" s="80"/>
      <c r="AA264" s="80"/>
      <c r="AB264" s="80"/>
      <c r="AC264" s="81"/>
      <c r="AD264" s="81"/>
      <c r="AE264" s="81"/>
      <c r="AF264" s="80"/>
      <c r="AG264" s="81"/>
    </row>
    <row r="265" spans="1:33">
      <c r="A265" s="161" t="s">
        <v>358</v>
      </c>
      <c r="B265" s="103" t="s">
        <v>377</v>
      </c>
      <c r="C265" s="104"/>
      <c r="D265" s="162">
        <v>175935</v>
      </c>
      <c r="E265" s="105">
        <v>9</v>
      </c>
      <c r="F265" s="78">
        <f t="shared" si="17"/>
        <v>91889.5</v>
      </c>
      <c r="G265" s="79">
        <f t="shared" si="18"/>
        <v>92654</v>
      </c>
      <c r="H265" s="80">
        <v>72339.5</v>
      </c>
      <c r="I265" s="81">
        <v>70070</v>
      </c>
      <c r="J265" s="80">
        <v>669</v>
      </c>
      <c r="K265" s="81">
        <v>684</v>
      </c>
      <c r="L265" s="80">
        <v>18881</v>
      </c>
      <c r="M265" s="80"/>
      <c r="N265" s="80"/>
      <c r="O265" s="81">
        <v>21900</v>
      </c>
      <c r="P265" s="81"/>
      <c r="Q265" s="81"/>
      <c r="R265" s="80"/>
      <c r="S265" s="81"/>
      <c r="T265" s="78">
        <f t="shared" si="19"/>
        <v>0</v>
      </c>
      <c r="U265" s="79">
        <f t="shared" si="16"/>
        <v>0</v>
      </c>
      <c r="V265" s="80"/>
      <c r="W265" s="81"/>
      <c r="X265" s="80"/>
      <c r="Y265" s="81"/>
      <c r="Z265" s="80"/>
      <c r="AA265" s="80"/>
      <c r="AB265" s="80"/>
      <c r="AC265" s="81"/>
      <c r="AD265" s="81"/>
      <c r="AE265" s="81"/>
      <c r="AF265" s="80"/>
      <c r="AG265" s="81"/>
    </row>
    <row r="266" spans="1:33">
      <c r="A266" s="161" t="s">
        <v>358</v>
      </c>
      <c r="B266" s="103" t="s">
        <v>378</v>
      </c>
      <c r="C266" s="104"/>
      <c r="D266" s="162">
        <v>176008</v>
      </c>
      <c r="E266" s="105">
        <v>9</v>
      </c>
      <c r="F266" s="78">
        <f t="shared" si="17"/>
        <v>64414</v>
      </c>
      <c r="G266" s="79">
        <f t="shared" si="18"/>
        <v>63672</v>
      </c>
      <c r="H266" s="80">
        <v>47524</v>
      </c>
      <c r="I266" s="81">
        <v>47638</v>
      </c>
      <c r="J266" s="80">
        <v>7620</v>
      </c>
      <c r="K266" s="81">
        <v>6204</v>
      </c>
      <c r="L266" s="80">
        <v>9270</v>
      </c>
      <c r="M266" s="80"/>
      <c r="N266" s="80"/>
      <c r="O266" s="81">
        <v>9830</v>
      </c>
      <c r="P266" s="81"/>
      <c r="Q266" s="81"/>
      <c r="R266" s="80"/>
      <c r="S266" s="81"/>
      <c r="T266" s="78">
        <f t="shared" si="19"/>
        <v>0</v>
      </c>
      <c r="U266" s="79">
        <f t="shared" si="16"/>
        <v>0</v>
      </c>
      <c r="V266" s="80"/>
      <c r="W266" s="81"/>
      <c r="X266" s="80"/>
      <c r="Y266" s="81"/>
      <c r="Z266" s="80"/>
      <c r="AA266" s="80"/>
      <c r="AB266" s="80"/>
      <c r="AC266" s="81"/>
      <c r="AD266" s="81"/>
      <c r="AE266" s="81"/>
      <c r="AF266" s="80"/>
      <c r="AG266" s="81"/>
    </row>
    <row r="267" spans="1:33">
      <c r="A267" s="161" t="s">
        <v>358</v>
      </c>
      <c r="B267" s="103" t="s">
        <v>379</v>
      </c>
      <c r="C267" s="104"/>
      <c r="D267" s="162">
        <v>176169</v>
      </c>
      <c r="E267" s="105">
        <v>9</v>
      </c>
      <c r="F267" s="78">
        <f t="shared" si="17"/>
        <v>92221</v>
      </c>
      <c r="G267" s="79">
        <f t="shared" si="18"/>
        <v>91120</v>
      </c>
      <c r="H267" s="80">
        <v>72145</v>
      </c>
      <c r="I267" s="81">
        <v>69040</v>
      </c>
      <c r="J267" s="80">
        <v>0</v>
      </c>
      <c r="K267" s="81">
        <v>0</v>
      </c>
      <c r="L267" s="80">
        <v>20076</v>
      </c>
      <c r="M267" s="80"/>
      <c r="N267" s="80"/>
      <c r="O267" s="81">
        <v>22080</v>
      </c>
      <c r="P267" s="81"/>
      <c r="Q267" s="81"/>
      <c r="R267" s="80"/>
      <c r="S267" s="81"/>
      <c r="T267" s="78">
        <f t="shared" si="19"/>
        <v>0</v>
      </c>
      <c r="U267" s="79">
        <f t="shared" si="16"/>
        <v>0</v>
      </c>
      <c r="V267" s="80"/>
      <c r="W267" s="81"/>
      <c r="X267" s="80"/>
      <c r="Y267" s="81"/>
      <c r="Z267" s="80"/>
      <c r="AA267" s="80"/>
      <c r="AB267" s="80"/>
      <c r="AC267" s="81"/>
      <c r="AD267" s="81"/>
      <c r="AE267" s="81"/>
      <c r="AF267" s="80"/>
      <c r="AG267" s="81"/>
    </row>
    <row r="268" spans="1:33">
      <c r="A268" s="161" t="s">
        <v>358</v>
      </c>
      <c r="B268" s="103" t="s">
        <v>380</v>
      </c>
      <c r="C268" s="104"/>
      <c r="D268" s="162">
        <v>176239</v>
      </c>
      <c r="E268" s="163">
        <v>9</v>
      </c>
      <c r="F268" s="78">
        <f t="shared" si="17"/>
        <v>114853</v>
      </c>
      <c r="G268" s="79">
        <f t="shared" si="18"/>
        <v>120448</v>
      </c>
      <c r="H268" s="80">
        <v>89359</v>
      </c>
      <c r="I268" s="81">
        <v>91945</v>
      </c>
      <c r="J268" s="80">
        <v>2803</v>
      </c>
      <c r="K268" s="81">
        <v>3613</v>
      </c>
      <c r="L268" s="80">
        <v>22691</v>
      </c>
      <c r="M268" s="80"/>
      <c r="N268" s="80"/>
      <c r="O268" s="81">
        <v>24890</v>
      </c>
      <c r="P268" s="81"/>
      <c r="Q268" s="81"/>
      <c r="R268" s="80"/>
      <c r="S268" s="81"/>
      <c r="T268" s="78">
        <f t="shared" si="19"/>
        <v>0</v>
      </c>
      <c r="U268" s="79">
        <f t="shared" si="16"/>
        <v>0</v>
      </c>
      <c r="V268" s="80"/>
      <c r="W268" s="81"/>
      <c r="X268" s="80"/>
      <c r="Y268" s="81"/>
      <c r="Z268" s="80"/>
      <c r="AA268" s="80"/>
      <c r="AB268" s="80"/>
      <c r="AC268" s="81"/>
      <c r="AD268" s="81"/>
      <c r="AE268" s="81"/>
      <c r="AF268" s="80"/>
      <c r="AG268" s="81"/>
    </row>
    <row r="269" spans="1:33">
      <c r="A269" s="161" t="s">
        <v>358</v>
      </c>
      <c r="B269" s="103" t="s">
        <v>381</v>
      </c>
      <c r="C269" s="104"/>
      <c r="D269" s="162">
        <v>175519</v>
      </c>
      <c r="E269" s="105">
        <v>10</v>
      </c>
      <c r="F269" s="78">
        <f t="shared" si="17"/>
        <v>50162</v>
      </c>
      <c r="G269" s="79">
        <f t="shared" si="18"/>
        <v>51011</v>
      </c>
      <c r="H269" s="80">
        <v>43338</v>
      </c>
      <c r="I269" s="81">
        <v>42002</v>
      </c>
      <c r="J269" s="80">
        <v>1203</v>
      </c>
      <c r="K269" s="81">
        <v>888</v>
      </c>
      <c r="L269" s="80">
        <v>5621</v>
      </c>
      <c r="M269" s="80"/>
      <c r="N269" s="80"/>
      <c r="O269" s="81">
        <v>8121</v>
      </c>
      <c r="P269" s="81"/>
      <c r="Q269" s="81"/>
      <c r="R269" s="80"/>
      <c r="S269" s="81"/>
      <c r="T269" s="78">
        <f t="shared" si="19"/>
        <v>0</v>
      </c>
      <c r="U269" s="79">
        <f t="shared" si="16"/>
        <v>0</v>
      </c>
      <c r="V269" s="80"/>
      <c r="W269" s="81"/>
      <c r="X269" s="80"/>
      <c r="Y269" s="81"/>
      <c r="Z269" s="80"/>
      <c r="AA269" s="80"/>
      <c r="AB269" s="80"/>
      <c r="AC269" s="81"/>
      <c r="AD269" s="81"/>
      <c r="AE269" s="81"/>
      <c r="AF269" s="80"/>
      <c r="AG269" s="81"/>
    </row>
    <row r="270" spans="1:33">
      <c r="A270" s="161" t="s">
        <v>358</v>
      </c>
      <c r="B270" s="103" t="s">
        <v>382</v>
      </c>
      <c r="C270" s="104"/>
      <c r="D270" s="162">
        <v>176354</v>
      </c>
      <c r="E270" s="105">
        <v>10</v>
      </c>
      <c r="F270" s="78">
        <f t="shared" si="17"/>
        <v>53844</v>
      </c>
      <c r="G270" s="79">
        <f t="shared" si="18"/>
        <v>54536</v>
      </c>
      <c r="H270" s="80">
        <v>43078</v>
      </c>
      <c r="I270" s="81">
        <v>42986</v>
      </c>
      <c r="J270" s="80">
        <v>0</v>
      </c>
      <c r="K270" s="81">
        <v>0</v>
      </c>
      <c r="L270" s="80">
        <v>10766</v>
      </c>
      <c r="M270" s="80"/>
      <c r="N270" s="80"/>
      <c r="O270" s="81">
        <v>11550</v>
      </c>
      <c r="P270" s="81"/>
      <c r="Q270" s="81"/>
      <c r="R270" s="80"/>
      <c r="S270" s="81"/>
      <c r="T270" s="78">
        <f t="shared" si="19"/>
        <v>0</v>
      </c>
      <c r="U270" s="79">
        <f t="shared" ref="U270:U333" si="20">SUM(W270,Y270,AC270,AD270,AE270,AG270)</f>
        <v>0</v>
      </c>
      <c r="V270" s="80"/>
      <c r="W270" s="81"/>
      <c r="X270" s="80"/>
      <c r="Y270" s="81"/>
      <c r="Z270" s="80"/>
      <c r="AA270" s="80"/>
      <c r="AB270" s="80"/>
      <c r="AC270" s="81"/>
      <c r="AD270" s="81"/>
      <c r="AE270" s="81"/>
      <c r="AF270" s="80"/>
      <c r="AG270" s="81"/>
    </row>
    <row r="271" spans="1:33" s="44" customFormat="1" ht="13.5" customHeight="1">
      <c r="A271" s="164" t="s">
        <v>384</v>
      </c>
      <c r="B271" s="165" t="s">
        <v>385</v>
      </c>
      <c r="C271" s="166"/>
      <c r="D271" s="167">
        <v>199193</v>
      </c>
      <c r="E271" s="167">
        <v>1</v>
      </c>
      <c r="F271" s="78">
        <f t="shared" si="17"/>
        <v>677964</v>
      </c>
      <c r="G271" s="79">
        <f t="shared" si="18"/>
        <v>681219</v>
      </c>
      <c r="H271" s="80">
        <v>575959</v>
      </c>
      <c r="I271" s="81">
        <v>573441</v>
      </c>
      <c r="J271" s="80">
        <v>3644</v>
      </c>
      <c r="K271" s="81">
        <v>2935</v>
      </c>
      <c r="L271" s="80">
        <v>95614</v>
      </c>
      <c r="M271" s="80">
        <v>0</v>
      </c>
      <c r="N271" s="80">
        <v>2747</v>
      </c>
      <c r="O271" s="81">
        <v>101593</v>
      </c>
      <c r="P271" s="81">
        <v>0</v>
      </c>
      <c r="Q271" s="81">
        <v>3250</v>
      </c>
      <c r="R271" s="80"/>
      <c r="S271" s="81"/>
      <c r="T271" s="78">
        <f t="shared" si="19"/>
        <v>151973</v>
      </c>
      <c r="U271" s="79">
        <f t="shared" si="20"/>
        <v>157466</v>
      </c>
      <c r="V271" s="80">
        <v>117347</v>
      </c>
      <c r="W271" s="81">
        <v>118667</v>
      </c>
      <c r="X271" s="80">
        <v>4567</v>
      </c>
      <c r="Y271" s="81">
        <v>5868</v>
      </c>
      <c r="Z271" s="80">
        <v>28562</v>
      </c>
      <c r="AA271" s="80">
        <v>0</v>
      </c>
      <c r="AB271" s="80">
        <v>1497</v>
      </c>
      <c r="AC271" s="81">
        <v>30091</v>
      </c>
      <c r="AD271" s="81">
        <v>0</v>
      </c>
      <c r="AE271" s="81">
        <v>2840</v>
      </c>
      <c r="AF271" s="80"/>
      <c r="AG271" s="81"/>
    </row>
    <row r="272" spans="1:33">
      <c r="A272" s="164" t="s">
        <v>384</v>
      </c>
      <c r="B272" s="165" t="s">
        <v>386</v>
      </c>
      <c r="C272" s="166"/>
      <c r="D272" s="167">
        <v>199120</v>
      </c>
      <c r="E272" s="167">
        <v>1</v>
      </c>
      <c r="F272" s="78">
        <f t="shared" si="17"/>
        <v>516898</v>
      </c>
      <c r="G272" s="79">
        <f t="shared" si="18"/>
        <v>521127</v>
      </c>
      <c r="H272" s="80">
        <v>498909</v>
      </c>
      <c r="I272" s="81">
        <v>503977</v>
      </c>
      <c r="J272" s="80">
        <v>20</v>
      </c>
      <c r="K272" s="81">
        <v>0</v>
      </c>
      <c r="L272" s="80">
        <v>17951</v>
      </c>
      <c r="M272" s="80">
        <v>18</v>
      </c>
      <c r="N272" s="80">
        <v>0</v>
      </c>
      <c r="O272" s="81">
        <v>17123</v>
      </c>
      <c r="P272" s="81">
        <v>27</v>
      </c>
      <c r="Q272" s="81">
        <v>0</v>
      </c>
      <c r="R272" s="80"/>
      <c r="S272" s="81"/>
      <c r="T272" s="78">
        <f t="shared" si="19"/>
        <v>179274</v>
      </c>
      <c r="U272" s="79">
        <f t="shared" si="20"/>
        <v>177975</v>
      </c>
      <c r="V272" s="80">
        <v>147558</v>
      </c>
      <c r="W272" s="81">
        <v>150369</v>
      </c>
      <c r="X272" s="80">
        <v>2308</v>
      </c>
      <c r="Y272" s="81">
        <v>2603</v>
      </c>
      <c r="Z272" s="80">
        <v>29302</v>
      </c>
      <c r="AA272" s="80">
        <v>106</v>
      </c>
      <c r="AB272" s="80">
        <v>0</v>
      </c>
      <c r="AC272" s="81">
        <v>24930</v>
      </c>
      <c r="AD272" s="81">
        <v>73</v>
      </c>
      <c r="AE272" s="81">
        <v>0</v>
      </c>
      <c r="AF272" s="80"/>
      <c r="AG272" s="81"/>
    </row>
    <row r="273" spans="1:33">
      <c r="A273" s="164" t="s">
        <v>384</v>
      </c>
      <c r="B273" s="165" t="s">
        <v>387</v>
      </c>
      <c r="C273" s="168"/>
      <c r="D273" s="167">
        <v>199139</v>
      </c>
      <c r="E273" s="169">
        <v>1</v>
      </c>
      <c r="F273" s="78">
        <f t="shared" si="17"/>
        <v>656459</v>
      </c>
      <c r="G273" s="79">
        <f t="shared" si="18"/>
        <v>670251</v>
      </c>
      <c r="H273" s="80">
        <v>569451</v>
      </c>
      <c r="I273" s="81">
        <v>582066</v>
      </c>
      <c r="J273" s="80">
        <v>0</v>
      </c>
      <c r="K273" s="81">
        <v>0</v>
      </c>
      <c r="L273" s="80">
        <v>86855</v>
      </c>
      <c r="M273" s="80">
        <v>153</v>
      </c>
      <c r="N273" s="80">
        <v>0</v>
      </c>
      <c r="O273" s="81">
        <v>87968</v>
      </c>
      <c r="P273" s="81">
        <v>217</v>
      </c>
      <c r="Q273" s="81">
        <v>0</v>
      </c>
      <c r="R273" s="80"/>
      <c r="S273" s="81"/>
      <c r="T273" s="78">
        <f t="shared" si="19"/>
        <v>85738</v>
      </c>
      <c r="U273" s="79">
        <f t="shared" si="20"/>
        <v>88093</v>
      </c>
      <c r="V273" s="80">
        <v>69129</v>
      </c>
      <c r="W273" s="81">
        <v>70777</v>
      </c>
      <c r="X273" s="80">
        <v>0</v>
      </c>
      <c r="Y273" s="81">
        <v>0</v>
      </c>
      <c r="Z273" s="80">
        <v>16609</v>
      </c>
      <c r="AA273" s="80">
        <v>0</v>
      </c>
      <c r="AB273" s="80">
        <v>0</v>
      </c>
      <c r="AC273" s="81">
        <v>17271</v>
      </c>
      <c r="AD273" s="81">
        <v>45</v>
      </c>
      <c r="AE273" s="81">
        <v>0</v>
      </c>
      <c r="AF273" s="80"/>
      <c r="AG273" s="81"/>
    </row>
    <row r="274" spans="1:33">
      <c r="A274" s="164" t="s">
        <v>384</v>
      </c>
      <c r="B274" s="165" t="s">
        <v>388</v>
      </c>
      <c r="C274" s="166"/>
      <c r="D274" s="167">
        <v>199148</v>
      </c>
      <c r="E274" s="167">
        <v>1</v>
      </c>
      <c r="F274" s="78">
        <f t="shared" si="17"/>
        <v>443938</v>
      </c>
      <c r="G274" s="79">
        <f t="shared" si="18"/>
        <v>453649</v>
      </c>
      <c r="H274" s="80">
        <v>346189</v>
      </c>
      <c r="I274" s="81">
        <v>350829</v>
      </c>
      <c r="J274" s="80">
        <v>0</v>
      </c>
      <c r="K274" s="81">
        <v>0</v>
      </c>
      <c r="L274" s="80">
        <v>97749</v>
      </c>
      <c r="M274" s="80">
        <v>0</v>
      </c>
      <c r="N274" s="80">
        <v>0</v>
      </c>
      <c r="O274" s="81">
        <v>102820</v>
      </c>
      <c r="P274" s="81">
        <v>0</v>
      </c>
      <c r="Q274" s="81">
        <v>0</v>
      </c>
      <c r="R274" s="80"/>
      <c r="S274" s="81"/>
      <c r="T274" s="78">
        <f t="shared" si="19"/>
        <v>56810</v>
      </c>
      <c r="U274" s="79">
        <f t="shared" si="20"/>
        <v>59391</v>
      </c>
      <c r="V274" s="80">
        <v>41863</v>
      </c>
      <c r="W274" s="81">
        <v>42911</v>
      </c>
      <c r="X274" s="80">
        <v>0</v>
      </c>
      <c r="Y274" s="81">
        <v>15</v>
      </c>
      <c r="Z274" s="80">
        <v>14947</v>
      </c>
      <c r="AA274" s="80">
        <v>0</v>
      </c>
      <c r="AB274" s="80">
        <v>0</v>
      </c>
      <c r="AC274" s="81">
        <v>16465</v>
      </c>
      <c r="AD274" s="81">
        <v>0</v>
      </c>
      <c r="AE274" s="81">
        <v>0</v>
      </c>
      <c r="AF274" s="80"/>
      <c r="AG274" s="81"/>
    </row>
    <row r="275" spans="1:33">
      <c r="A275" s="164" t="s">
        <v>384</v>
      </c>
      <c r="B275" s="165" t="s">
        <v>389</v>
      </c>
      <c r="C275" s="168"/>
      <c r="D275" s="167">
        <v>198464</v>
      </c>
      <c r="E275" s="167">
        <v>2</v>
      </c>
      <c r="F275" s="78">
        <f t="shared" si="17"/>
        <v>636002</v>
      </c>
      <c r="G275" s="79">
        <f t="shared" si="18"/>
        <v>636129</v>
      </c>
      <c r="H275" s="80">
        <v>502213</v>
      </c>
      <c r="I275" s="81">
        <v>506194</v>
      </c>
      <c r="J275" s="80">
        <v>2812</v>
      </c>
      <c r="K275" s="81">
        <v>2446</v>
      </c>
      <c r="L275" s="80">
        <v>130962</v>
      </c>
      <c r="M275" s="80">
        <v>15</v>
      </c>
      <c r="N275" s="80">
        <v>0</v>
      </c>
      <c r="O275" s="81">
        <v>127381</v>
      </c>
      <c r="P275" s="81">
        <v>108</v>
      </c>
      <c r="Q275" s="81">
        <v>0</v>
      </c>
      <c r="R275" s="80"/>
      <c r="S275" s="81"/>
      <c r="T275" s="78">
        <f t="shared" si="19"/>
        <v>80701</v>
      </c>
      <c r="U275" s="79">
        <f t="shared" si="20"/>
        <v>83269</v>
      </c>
      <c r="V275" s="80">
        <v>34350</v>
      </c>
      <c r="W275" s="81">
        <v>34419</v>
      </c>
      <c r="X275" s="80">
        <v>4318</v>
      </c>
      <c r="Y275" s="81">
        <v>3856</v>
      </c>
      <c r="Z275" s="80">
        <v>42031</v>
      </c>
      <c r="AA275" s="80">
        <v>2</v>
      </c>
      <c r="AB275" s="80">
        <v>0</v>
      </c>
      <c r="AC275" s="81">
        <v>44867</v>
      </c>
      <c r="AD275" s="81">
        <v>127</v>
      </c>
      <c r="AE275" s="81">
        <v>0</v>
      </c>
      <c r="AF275" s="80"/>
      <c r="AG275" s="81"/>
    </row>
    <row r="276" spans="1:33">
      <c r="A276" s="164" t="s">
        <v>384</v>
      </c>
      <c r="B276" s="165" t="s">
        <v>390</v>
      </c>
      <c r="C276" s="166"/>
      <c r="D276" s="167">
        <v>197869</v>
      </c>
      <c r="E276" s="167">
        <v>3</v>
      </c>
      <c r="F276" s="78">
        <f t="shared" ref="F276:F339" si="21">SUM(H276,J276,L276,M276,N276,R276)</f>
        <v>500723</v>
      </c>
      <c r="G276" s="79">
        <f t="shared" ref="G276:G339" si="22">SUM(I276,K276,O276,P276,Q276,S276)</f>
        <v>511381</v>
      </c>
      <c r="H276" s="80">
        <v>460590</v>
      </c>
      <c r="I276" s="81">
        <v>466535</v>
      </c>
      <c r="J276" s="80">
        <v>3152</v>
      </c>
      <c r="K276" s="81">
        <v>3071</v>
      </c>
      <c r="L276" s="80">
        <v>36981</v>
      </c>
      <c r="M276" s="80">
        <v>0</v>
      </c>
      <c r="N276" s="80">
        <v>0</v>
      </c>
      <c r="O276" s="81">
        <v>41775</v>
      </c>
      <c r="P276" s="81">
        <v>0</v>
      </c>
      <c r="Q276" s="81">
        <v>0</v>
      </c>
      <c r="R276" s="80"/>
      <c r="S276" s="81"/>
      <c r="T276" s="78">
        <f t="shared" ref="T276:T339" si="23">SUM(V276,X276,Z276,AA276,AB276,AF276)</f>
        <v>33924</v>
      </c>
      <c r="U276" s="79">
        <f t="shared" si="20"/>
        <v>34048</v>
      </c>
      <c r="V276" s="80">
        <v>24135</v>
      </c>
      <c r="W276" s="81">
        <v>23709</v>
      </c>
      <c r="X276" s="80">
        <v>1391</v>
      </c>
      <c r="Y276" s="81">
        <v>660</v>
      </c>
      <c r="Z276" s="80">
        <v>8398</v>
      </c>
      <c r="AA276" s="80">
        <v>0</v>
      </c>
      <c r="AB276" s="80">
        <v>0</v>
      </c>
      <c r="AC276" s="81">
        <v>9679</v>
      </c>
      <c r="AD276" s="81">
        <v>0</v>
      </c>
      <c r="AE276" s="81">
        <v>0</v>
      </c>
      <c r="AF276" s="80"/>
      <c r="AG276" s="81"/>
    </row>
    <row r="277" spans="1:33">
      <c r="A277" s="164" t="s">
        <v>384</v>
      </c>
      <c r="B277" s="165" t="s">
        <v>391</v>
      </c>
      <c r="C277" s="166" t="s">
        <v>103</v>
      </c>
      <c r="D277" s="167">
        <v>199102</v>
      </c>
      <c r="E277" s="167">
        <v>3</v>
      </c>
      <c r="F277" s="78">
        <f t="shared" si="21"/>
        <v>276698</v>
      </c>
      <c r="G277" s="79">
        <f t="shared" si="22"/>
        <v>285632</v>
      </c>
      <c r="H277" s="80">
        <v>242895</v>
      </c>
      <c r="I277" s="81">
        <v>247825</v>
      </c>
      <c r="J277" s="80">
        <v>0</v>
      </c>
      <c r="K277" s="81">
        <v>552</v>
      </c>
      <c r="L277" s="80">
        <v>33782</v>
      </c>
      <c r="M277" s="80">
        <v>21</v>
      </c>
      <c r="N277" s="80">
        <v>0</v>
      </c>
      <c r="O277" s="81">
        <v>37255</v>
      </c>
      <c r="P277" s="81">
        <v>0</v>
      </c>
      <c r="Q277" s="81">
        <v>0</v>
      </c>
      <c r="R277" s="80"/>
      <c r="S277" s="81"/>
      <c r="T277" s="78">
        <f t="shared" si="23"/>
        <v>25975</v>
      </c>
      <c r="U277" s="79">
        <f t="shared" si="20"/>
        <v>25598</v>
      </c>
      <c r="V277" s="80">
        <v>20419</v>
      </c>
      <c r="W277" s="81">
        <v>18860</v>
      </c>
      <c r="X277" s="80">
        <v>0</v>
      </c>
      <c r="Y277" s="81">
        <v>64</v>
      </c>
      <c r="Z277" s="80">
        <v>5359</v>
      </c>
      <c r="AA277" s="80">
        <v>197</v>
      </c>
      <c r="AB277" s="80">
        <v>0</v>
      </c>
      <c r="AC277" s="81">
        <v>6617</v>
      </c>
      <c r="AD277" s="81">
        <v>57</v>
      </c>
      <c r="AE277" s="81">
        <v>0</v>
      </c>
      <c r="AF277" s="80"/>
      <c r="AG277" s="81"/>
    </row>
    <row r="278" spans="1:33">
      <c r="A278" s="164" t="s">
        <v>384</v>
      </c>
      <c r="B278" s="165" t="s">
        <v>392</v>
      </c>
      <c r="C278" s="166"/>
      <c r="D278" s="167">
        <v>199157</v>
      </c>
      <c r="E278" s="167">
        <v>3</v>
      </c>
      <c r="F278" s="78">
        <f t="shared" si="21"/>
        <v>181656</v>
      </c>
      <c r="G278" s="79">
        <f t="shared" si="22"/>
        <v>181104</v>
      </c>
      <c r="H278" s="80">
        <v>148706</v>
      </c>
      <c r="I278" s="81">
        <v>144699</v>
      </c>
      <c r="J278" s="80">
        <v>287</v>
      </c>
      <c r="K278" s="81">
        <v>227</v>
      </c>
      <c r="L278" s="80">
        <v>32663</v>
      </c>
      <c r="M278" s="80">
        <v>0</v>
      </c>
      <c r="N278" s="80">
        <v>0</v>
      </c>
      <c r="O278" s="81">
        <v>36178</v>
      </c>
      <c r="P278" s="81">
        <v>0</v>
      </c>
      <c r="Q278" s="81">
        <v>0</v>
      </c>
      <c r="R278" s="80"/>
      <c r="S278" s="81"/>
      <c r="T278" s="78">
        <f t="shared" si="23"/>
        <v>39327</v>
      </c>
      <c r="U278" s="79">
        <f t="shared" si="20"/>
        <v>38048</v>
      </c>
      <c r="V278" s="80">
        <v>31378</v>
      </c>
      <c r="W278" s="81">
        <v>28596</v>
      </c>
      <c r="X278" s="80">
        <v>29</v>
      </c>
      <c r="Y278" s="81">
        <v>4</v>
      </c>
      <c r="Z278" s="80">
        <v>7920</v>
      </c>
      <c r="AA278" s="80">
        <v>0</v>
      </c>
      <c r="AB278" s="80">
        <v>0</v>
      </c>
      <c r="AC278" s="81">
        <v>9448</v>
      </c>
      <c r="AD278" s="81">
        <v>0</v>
      </c>
      <c r="AE278" s="81">
        <v>0</v>
      </c>
      <c r="AF278" s="80"/>
      <c r="AG278" s="81"/>
    </row>
    <row r="279" spans="1:33">
      <c r="A279" s="164" t="s">
        <v>384</v>
      </c>
      <c r="B279" s="165" t="s">
        <v>393</v>
      </c>
      <c r="C279" s="166"/>
      <c r="D279" s="167">
        <v>199218</v>
      </c>
      <c r="E279" s="167">
        <v>3</v>
      </c>
      <c r="F279" s="78">
        <f t="shared" si="21"/>
        <v>398787</v>
      </c>
      <c r="G279" s="79">
        <f t="shared" si="22"/>
        <v>415399</v>
      </c>
      <c r="H279" s="80">
        <v>314660</v>
      </c>
      <c r="I279" s="81">
        <v>316373</v>
      </c>
      <c r="J279" s="80">
        <v>6885</v>
      </c>
      <c r="K279" s="81">
        <v>5475</v>
      </c>
      <c r="L279" s="80">
        <v>77094</v>
      </c>
      <c r="M279" s="80">
        <v>148</v>
      </c>
      <c r="N279" s="80">
        <v>0</v>
      </c>
      <c r="O279" s="81">
        <v>93435</v>
      </c>
      <c r="P279" s="81">
        <v>116</v>
      </c>
      <c r="Q279" s="81">
        <v>0</v>
      </c>
      <c r="R279" s="80"/>
      <c r="S279" s="81"/>
      <c r="T279" s="78">
        <f t="shared" si="23"/>
        <v>30063</v>
      </c>
      <c r="U279" s="79">
        <f t="shared" si="20"/>
        <v>31197</v>
      </c>
      <c r="V279" s="80">
        <v>14666</v>
      </c>
      <c r="W279" s="81">
        <v>13917</v>
      </c>
      <c r="X279" s="80">
        <v>1112</v>
      </c>
      <c r="Y279" s="81">
        <v>1281</v>
      </c>
      <c r="Z279" s="80">
        <v>14177</v>
      </c>
      <c r="AA279" s="80">
        <v>108</v>
      </c>
      <c r="AB279" s="80">
        <v>0</v>
      </c>
      <c r="AC279" s="81">
        <v>15900</v>
      </c>
      <c r="AD279" s="81">
        <v>99</v>
      </c>
      <c r="AE279" s="81">
        <v>0</v>
      </c>
      <c r="AF279" s="80"/>
      <c r="AG279" s="81"/>
    </row>
    <row r="280" spans="1:33">
      <c r="A280" s="164" t="s">
        <v>384</v>
      </c>
      <c r="B280" s="165" t="s">
        <v>394</v>
      </c>
      <c r="C280" s="166"/>
      <c r="D280" s="167">
        <v>200004</v>
      </c>
      <c r="E280" s="167">
        <v>3</v>
      </c>
      <c r="F280" s="78">
        <f t="shared" si="21"/>
        <v>252589</v>
      </c>
      <c r="G280" s="79">
        <f t="shared" si="22"/>
        <v>260240</v>
      </c>
      <c r="H280" s="80">
        <v>212325</v>
      </c>
      <c r="I280" s="81">
        <v>217013</v>
      </c>
      <c r="J280" s="80">
        <v>3847</v>
      </c>
      <c r="K280" s="81">
        <v>4093</v>
      </c>
      <c r="L280" s="80">
        <v>36411</v>
      </c>
      <c r="M280" s="80">
        <v>6</v>
      </c>
      <c r="N280" s="80">
        <v>0</v>
      </c>
      <c r="O280" s="81">
        <v>39062</v>
      </c>
      <c r="P280" s="81">
        <v>72</v>
      </c>
      <c r="Q280" s="81">
        <v>0</v>
      </c>
      <c r="R280" s="80"/>
      <c r="S280" s="81"/>
      <c r="T280" s="78">
        <f t="shared" si="23"/>
        <v>29249</v>
      </c>
      <c r="U280" s="79">
        <f t="shared" si="20"/>
        <v>31376</v>
      </c>
      <c r="V280" s="80">
        <v>10318</v>
      </c>
      <c r="W280" s="81">
        <v>10187</v>
      </c>
      <c r="X280" s="80">
        <v>7172</v>
      </c>
      <c r="Y280" s="81">
        <v>7462</v>
      </c>
      <c r="Z280" s="80">
        <v>11759</v>
      </c>
      <c r="AA280" s="80">
        <v>0</v>
      </c>
      <c r="AB280" s="80">
        <v>0</v>
      </c>
      <c r="AC280" s="81">
        <v>13727</v>
      </c>
      <c r="AD280" s="81">
        <v>0</v>
      </c>
      <c r="AE280" s="81">
        <v>0</v>
      </c>
      <c r="AF280" s="80"/>
      <c r="AG280" s="81"/>
    </row>
    <row r="281" spans="1:33">
      <c r="A281" s="164" t="s">
        <v>384</v>
      </c>
      <c r="B281" s="165" t="s">
        <v>395</v>
      </c>
      <c r="C281" s="166"/>
      <c r="D281" s="167">
        <v>198543</v>
      </c>
      <c r="E281" s="167">
        <v>4</v>
      </c>
      <c r="F281" s="78">
        <f t="shared" si="21"/>
        <v>147968</v>
      </c>
      <c r="G281" s="79">
        <f t="shared" si="22"/>
        <v>142028</v>
      </c>
      <c r="H281" s="80">
        <v>101903</v>
      </c>
      <c r="I281" s="81">
        <v>93800</v>
      </c>
      <c r="J281" s="80">
        <v>1547</v>
      </c>
      <c r="K281" s="81">
        <v>944</v>
      </c>
      <c r="L281" s="80">
        <v>44518</v>
      </c>
      <c r="M281" s="80">
        <v>0</v>
      </c>
      <c r="N281" s="80">
        <v>0</v>
      </c>
      <c r="O281" s="81">
        <v>47284</v>
      </c>
      <c r="P281" s="81">
        <v>0</v>
      </c>
      <c r="Q281" s="81">
        <v>0</v>
      </c>
      <c r="R281" s="80"/>
      <c r="S281" s="81"/>
      <c r="T281" s="78">
        <f t="shared" si="23"/>
        <v>12527</v>
      </c>
      <c r="U281" s="79">
        <f t="shared" si="20"/>
        <v>15133</v>
      </c>
      <c r="V281" s="80">
        <v>5671</v>
      </c>
      <c r="W281" s="81">
        <v>5994</v>
      </c>
      <c r="X281" s="80">
        <v>1518</v>
      </c>
      <c r="Y281" s="81">
        <v>1287</v>
      </c>
      <c r="Z281" s="80">
        <v>5338</v>
      </c>
      <c r="AA281" s="80">
        <v>0</v>
      </c>
      <c r="AB281" s="80">
        <v>0</v>
      </c>
      <c r="AC281" s="81">
        <v>7852</v>
      </c>
      <c r="AD281" s="81">
        <v>0</v>
      </c>
      <c r="AE281" s="81">
        <v>0</v>
      </c>
      <c r="AF281" s="80"/>
      <c r="AG281" s="81"/>
    </row>
    <row r="282" spans="1:33">
      <c r="A282" s="164" t="s">
        <v>384</v>
      </c>
      <c r="B282" s="165" t="s">
        <v>396</v>
      </c>
      <c r="C282" s="166"/>
      <c r="D282" s="167">
        <v>199281</v>
      </c>
      <c r="E282" s="167">
        <v>5</v>
      </c>
      <c r="F282" s="78">
        <f t="shared" si="21"/>
        <v>152757</v>
      </c>
      <c r="G282" s="79">
        <f t="shared" si="22"/>
        <v>148798</v>
      </c>
      <c r="H282" s="80">
        <v>112998</v>
      </c>
      <c r="I282" s="81">
        <v>108303</v>
      </c>
      <c r="J282" s="80">
        <v>1451</v>
      </c>
      <c r="K282" s="81">
        <v>1416</v>
      </c>
      <c r="L282" s="80">
        <v>37788</v>
      </c>
      <c r="M282" s="80">
        <v>520</v>
      </c>
      <c r="N282" s="80">
        <v>0</v>
      </c>
      <c r="O282" s="81">
        <v>38629</v>
      </c>
      <c r="P282" s="81">
        <v>450</v>
      </c>
      <c r="Q282" s="81">
        <v>0</v>
      </c>
      <c r="R282" s="80"/>
      <c r="S282" s="81"/>
      <c r="T282" s="78">
        <f t="shared" si="23"/>
        <v>12414</v>
      </c>
      <c r="U282" s="79">
        <f t="shared" si="20"/>
        <v>12210</v>
      </c>
      <c r="V282" s="80">
        <v>6177</v>
      </c>
      <c r="W282" s="81">
        <v>5384</v>
      </c>
      <c r="X282" s="80">
        <v>526</v>
      </c>
      <c r="Y282" s="81">
        <v>964</v>
      </c>
      <c r="Z282" s="80">
        <v>5693</v>
      </c>
      <c r="AA282" s="80">
        <v>18</v>
      </c>
      <c r="AB282" s="80">
        <v>0</v>
      </c>
      <c r="AC282" s="81">
        <v>5769</v>
      </c>
      <c r="AD282" s="81">
        <v>93</v>
      </c>
      <c r="AE282" s="81">
        <v>0</v>
      </c>
      <c r="AF282" s="80"/>
      <c r="AG282" s="81"/>
    </row>
    <row r="283" spans="1:33">
      <c r="A283" s="164" t="s">
        <v>384</v>
      </c>
      <c r="B283" s="165" t="s">
        <v>397</v>
      </c>
      <c r="C283" s="166"/>
      <c r="D283" s="167">
        <v>199999</v>
      </c>
      <c r="E283" s="167">
        <v>5</v>
      </c>
      <c r="F283" s="78">
        <f t="shared" si="21"/>
        <v>132984</v>
      </c>
      <c r="G283" s="79">
        <f t="shared" si="22"/>
        <v>130938</v>
      </c>
      <c r="H283" s="80">
        <v>101839</v>
      </c>
      <c r="I283" s="81">
        <v>103842</v>
      </c>
      <c r="J283" s="80">
        <v>74</v>
      </c>
      <c r="K283" s="81">
        <v>154</v>
      </c>
      <c r="L283" s="80">
        <v>16895</v>
      </c>
      <c r="M283" s="80">
        <v>0</v>
      </c>
      <c r="N283" s="80">
        <v>14176</v>
      </c>
      <c r="O283" s="81">
        <v>15636</v>
      </c>
      <c r="P283" s="81">
        <v>0</v>
      </c>
      <c r="Q283" s="81">
        <v>11306</v>
      </c>
      <c r="R283" s="80"/>
      <c r="S283" s="81"/>
      <c r="T283" s="78">
        <f t="shared" si="23"/>
        <v>10362</v>
      </c>
      <c r="U283" s="79">
        <f t="shared" si="20"/>
        <v>10299</v>
      </c>
      <c r="V283" s="80">
        <v>6573</v>
      </c>
      <c r="W283" s="81">
        <v>6116</v>
      </c>
      <c r="X283" s="80">
        <v>56</v>
      </c>
      <c r="Y283" s="81">
        <v>243</v>
      </c>
      <c r="Z283" s="80">
        <v>2157</v>
      </c>
      <c r="AA283" s="80">
        <v>0</v>
      </c>
      <c r="AB283" s="80">
        <v>1576</v>
      </c>
      <c r="AC283" s="81">
        <v>2315</v>
      </c>
      <c r="AD283" s="81">
        <v>0</v>
      </c>
      <c r="AE283" s="81">
        <v>1625</v>
      </c>
      <c r="AF283" s="80"/>
      <c r="AG283" s="81"/>
    </row>
    <row r="284" spans="1:33">
      <c r="A284" s="164" t="s">
        <v>384</v>
      </c>
      <c r="B284" s="165" t="s">
        <v>398</v>
      </c>
      <c r="C284" s="166"/>
      <c r="D284" s="167">
        <v>198507</v>
      </c>
      <c r="E284" s="167">
        <v>6</v>
      </c>
      <c r="F284" s="78">
        <f t="shared" si="21"/>
        <v>43335</v>
      </c>
      <c r="G284" s="79">
        <f t="shared" si="22"/>
        <v>36807</v>
      </c>
      <c r="H284" s="80">
        <v>30816</v>
      </c>
      <c r="I284" s="81">
        <v>31183</v>
      </c>
      <c r="J284" s="80">
        <v>36</v>
      </c>
      <c r="K284" s="81">
        <v>80</v>
      </c>
      <c r="L284" s="80">
        <v>12363</v>
      </c>
      <c r="M284" s="80">
        <v>120</v>
      </c>
      <c r="N284" s="80">
        <v>0</v>
      </c>
      <c r="O284" s="81">
        <v>5373</v>
      </c>
      <c r="P284" s="81">
        <v>171</v>
      </c>
      <c r="Q284" s="81">
        <v>0</v>
      </c>
      <c r="R284" s="80"/>
      <c r="S284" s="81"/>
      <c r="T284" s="78">
        <f t="shared" si="23"/>
        <v>666</v>
      </c>
      <c r="U284" s="79">
        <f t="shared" si="20"/>
        <v>743</v>
      </c>
      <c r="V284" s="80">
        <v>572</v>
      </c>
      <c r="W284" s="81">
        <v>632</v>
      </c>
      <c r="X284" s="80">
        <v>0</v>
      </c>
      <c r="Y284" s="81">
        <v>0</v>
      </c>
      <c r="Z284" s="80">
        <v>94</v>
      </c>
      <c r="AA284" s="80">
        <v>0</v>
      </c>
      <c r="AB284" s="80">
        <v>0</v>
      </c>
      <c r="AC284" s="81">
        <v>111</v>
      </c>
      <c r="AD284" s="81">
        <v>0</v>
      </c>
      <c r="AE284" s="81">
        <v>0</v>
      </c>
      <c r="AF284" s="80"/>
      <c r="AG284" s="81"/>
    </row>
    <row r="285" spans="1:33">
      <c r="A285" s="164" t="s">
        <v>384</v>
      </c>
      <c r="B285" s="165" t="s">
        <v>399</v>
      </c>
      <c r="C285" s="166"/>
      <c r="D285" s="167">
        <v>199111</v>
      </c>
      <c r="E285" s="167">
        <v>6</v>
      </c>
      <c r="F285" s="78">
        <f t="shared" si="21"/>
        <v>103343</v>
      </c>
      <c r="G285" s="79">
        <f t="shared" si="22"/>
        <v>103254</v>
      </c>
      <c r="H285" s="80">
        <v>99378</v>
      </c>
      <c r="I285" s="81">
        <v>99072</v>
      </c>
      <c r="J285" s="80">
        <v>720</v>
      </c>
      <c r="K285" s="81">
        <v>864</v>
      </c>
      <c r="L285" s="80">
        <v>887</v>
      </c>
      <c r="M285" s="80">
        <v>2358</v>
      </c>
      <c r="N285" s="80">
        <v>0</v>
      </c>
      <c r="O285" s="81">
        <v>808</v>
      </c>
      <c r="P285" s="81">
        <v>2510</v>
      </c>
      <c r="Q285" s="81">
        <v>0</v>
      </c>
      <c r="R285" s="80"/>
      <c r="S285" s="81"/>
      <c r="T285" s="78">
        <f t="shared" si="23"/>
        <v>257</v>
      </c>
      <c r="U285" s="79">
        <f t="shared" si="20"/>
        <v>278</v>
      </c>
      <c r="V285" s="80">
        <v>257</v>
      </c>
      <c r="W285" s="81">
        <v>269</v>
      </c>
      <c r="X285" s="80">
        <v>0</v>
      </c>
      <c r="Y285" s="81">
        <v>0</v>
      </c>
      <c r="Z285" s="80">
        <v>0</v>
      </c>
      <c r="AA285" s="80">
        <v>0</v>
      </c>
      <c r="AB285" s="80">
        <v>0</v>
      </c>
      <c r="AC285" s="81">
        <v>9</v>
      </c>
      <c r="AD285" s="81">
        <v>0</v>
      </c>
      <c r="AE285" s="81">
        <v>0</v>
      </c>
      <c r="AF285" s="80"/>
      <c r="AG285" s="81"/>
    </row>
    <row r="286" spans="1:33" s="44" customFormat="1" ht="13.5" customHeight="1">
      <c r="A286" s="113" t="s">
        <v>384</v>
      </c>
      <c r="B286" s="120" t="s">
        <v>400</v>
      </c>
      <c r="C286" s="115"/>
      <c r="D286" s="117">
        <v>199786</v>
      </c>
      <c r="E286" s="117">
        <v>9</v>
      </c>
      <c r="F286" s="78">
        <f t="shared" si="21"/>
        <v>60619</v>
      </c>
      <c r="G286" s="79">
        <f t="shared" si="22"/>
        <v>58838</v>
      </c>
      <c r="H286" s="80">
        <v>29471</v>
      </c>
      <c r="I286" s="81">
        <v>27409</v>
      </c>
      <c r="J286" s="80">
        <v>1850</v>
      </c>
      <c r="K286" s="81">
        <v>1946</v>
      </c>
      <c r="L286" s="80">
        <v>29298</v>
      </c>
      <c r="M286" s="80">
        <v>0</v>
      </c>
      <c r="N286" s="80">
        <v>0</v>
      </c>
      <c r="O286" s="81">
        <v>29483</v>
      </c>
      <c r="P286" s="81">
        <v>0</v>
      </c>
      <c r="Q286" s="81">
        <v>0</v>
      </c>
      <c r="R286" s="80"/>
      <c r="S286" s="81"/>
      <c r="T286" s="78">
        <f t="shared" si="23"/>
        <v>0</v>
      </c>
      <c r="U286" s="79">
        <f t="shared" si="20"/>
        <v>0</v>
      </c>
      <c r="V286" s="80"/>
      <c r="W286" s="81"/>
      <c r="X286" s="80"/>
      <c r="Y286" s="81"/>
      <c r="Z286" s="80"/>
      <c r="AA286" s="80"/>
      <c r="AB286" s="80"/>
      <c r="AC286" s="81"/>
      <c r="AD286" s="81"/>
      <c r="AE286" s="81"/>
      <c r="AF286" s="80"/>
      <c r="AG286" s="81"/>
    </row>
    <row r="287" spans="1:33">
      <c r="A287" s="113" t="s">
        <v>384</v>
      </c>
      <c r="B287" s="120" t="s">
        <v>401</v>
      </c>
      <c r="C287" s="115"/>
      <c r="D287" s="117">
        <v>197887</v>
      </c>
      <c r="E287" s="117">
        <v>8</v>
      </c>
      <c r="F287" s="78">
        <f t="shared" si="21"/>
        <v>91707</v>
      </c>
      <c r="G287" s="79">
        <f t="shared" si="22"/>
        <v>93084</v>
      </c>
      <c r="H287" s="80">
        <v>48716</v>
      </c>
      <c r="I287" s="81">
        <v>46373</v>
      </c>
      <c r="J287" s="80">
        <v>3974</v>
      </c>
      <c r="K287" s="81">
        <v>4773</v>
      </c>
      <c r="L287" s="80">
        <v>37727</v>
      </c>
      <c r="M287" s="80">
        <v>1290</v>
      </c>
      <c r="N287" s="80">
        <v>0</v>
      </c>
      <c r="O287" s="81">
        <v>40422</v>
      </c>
      <c r="P287" s="81">
        <v>1516</v>
      </c>
      <c r="Q287" s="81">
        <v>0</v>
      </c>
      <c r="R287" s="80"/>
      <c r="S287" s="81"/>
      <c r="T287" s="78">
        <f t="shared" si="23"/>
        <v>0</v>
      </c>
      <c r="U287" s="79">
        <f t="shared" si="20"/>
        <v>0</v>
      </c>
      <c r="V287" s="80"/>
      <c r="W287" s="81"/>
      <c r="X287" s="80"/>
      <c r="Y287" s="81"/>
      <c r="Z287" s="80"/>
      <c r="AA287" s="80"/>
      <c r="AB287" s="80"/>
      <c r="AC287" s="81"/>
      <c r="AD287" s="81"/>
      <c r="AE287" s="81"/>
      <c r="AF287" s="80"/>
      <c r="AG287" s="81"/>
    </row>
    <row r="288" spans="1:33">
      <c r="A288" s="113" t="s">
        <v>384</v>
      </c>
      <c r="B288" s="120" t="s">
        <v>402</v>
      </c>
      <c r="C288" s="115"/>
      <c r="D288" s="117">
        <v>197966</v>
      </c>
      <c r="E288" s="117">
        <v>10</v>
      </c>
      <c r="F288" s="78">
        <f t="shared" si="21"/>
        <v>25051</v>
      </c>
      <c r="G288" s="79">
        <f t="shared" si="22"/>
        <v>24804</v>
      </c>
      <c r="H288" s="80">
        <v>4335</v>
      </c>
      <c r="I288" s="81">
        <v>3268</v>
      </c>
      <c r="J288" s="80">
        <v>107</v>
      </c>
      <c r="K288" s="81">
        <v>244</v>
      </c>
      <c r="L288" s="80">
        <v>18628</v>
      </c>
      <c r="M288" s="80">
        <v>0</v>
      </c>
      <c r="N288" s="80">
        <v>1981</v>
      </c>
      <c r="O288" s="81">
        <v>18708</v>
      </c>
      <c r="P288" s="81">
        <v>0</v>
      </c>
      <c r="Q288" s="81">
        <v>2584</v>
      </c>
      <c r="R288" s="80"/>
      <c r="S288" s="81"/>
      <c r="T288" s="78">
        <f t="shared" si="23"/>
        <v>0</v>
      </c>
      <c r="U288" s="79">
        <f t="shared" si="20"/>
        <v>0</v>
      </c>
      <c r="V288" s="80"/>
      <c r="W288" s="81"/>
      <c r="X288" s="80"/>
      <c r="Y288" s="81"/>
      <c r="Z288" s="80"/>
      <c r="AA288" s="80"/>
      <c r="AB288" s="80"/>
      <c r="AC288" s="81"/>
      <c r="AD288" s="81"/>
      <c r="AE288" s="81"/>
      <c r="AF288" s="80"/>
      <c r="AG288" s="81"/>
    </row>
    <row r="289" spans="1:33">
      <c r="A289" s="113" t="s">
        <v>384</v>
      </c>
      <c r="B289" s="120" t="s">
        <v>403</v>
      </c>
      <c r="C289" s="115"/>
      <c r="D289" s="117">
        <v>198011</v>
      </c>
      <c r="E289" s="117">
        <v>10</v>
      </c>
      <c r="F289" s="78">
        <f t="shared" si="21"/>
        <v>21125</v>
      </c>
      <c r="G289" s="79">
        <f t="shared" si="22"/>
        <v>19642</v>
      </c>
      <c r="H289" s="80">
        <v>5263</v>
      </c>
      <c r="I289" s="81">
        <v>4249</v>
      </c>
      <c r="J289" s="80">
        <v>168</v>
      </c>
      <c r="K289" s="81">
        <v>517</v>
      </c>
      <c r="L289" s="80">
        <v>14528</v>
      </c>
      <c r="M289" s="80">
        <v>1166</v>
      </c>
      <c r="N289" s="80">
        <v>0</v>
      </c>
      <c r="O289" s="81">
        <v>13528</v>
      </c>
      <c r="P289" s="81">
        <v>1321</v>
      </c>
      <c r="Q289" s="81">
        <v>27</v>
      </c>
      <c r="R289" s="80"/>
      <c r="S289" s="81"/>
      <c r="T289" s="78">
        <f t="shared" si="23"/>
        <v>0</v>
      </c>
      <c r="U289" s="79">
        <f t="shared" si="20"/>
        <v>0</v>
      </c>
      <c r="V289" s="80"/>
      <c r="W289" s="81"/>
      <c r="X289" s="80"/>
      <c r="Y289" s="81"/>
      <c r="Z289" s="80"/>
      <c r="AA289" s="80"/>
      <c r="AB289" s="80"/>
      <c r="AC289" s="81"/>
      <c r="AD289" s="81"/>
      <c r="AE289" s="81"/>
      <c r="AF289" s="80"/>
      <c r="AG289" s="81"/>
    </row>
    <row r="290" spans="1:33">
      <c r="A290" s="113" t="s">
        <v>384</v>
      </c>
      <c r="B290" s="120" t="s">
        <v>404</v>
      </c>
      <c r="C290" s="115"/>
      <c r="D290" s="117">
        <v>198039</v>
      </c>
      <c r="E290" s="117">
        <v>10</v>
      </c>
      <c r="F290" s="78">
        <f t="shared" si="21"/>
        <v>30217</v>
      </c>
      <c r="G290" s="79">
        <f t="shared" si="22"/>
        <v>30833</v>
      </c>
      <c r="H290" s="80">
        <v>9236</v>
      </c>
      <c r="I290" s="81">
        <v>8086</v>
      </c>
      <c r="J290" s="80">
        <v>358</v>
      </c>
      <c r="K290" s="81">
        <v>1176</v>
      </c>
      <c r="L290" s="80">
        <v>20623</v>
      </c>
      <c r="M290" s="80">
        <v>0</v>
      </c>
      <c r="N290" s="80">
        <v>0</v>
      </c>
      <c r="O290" s="81">
        <v>21571</v>
      </c>
      <c r="P290" s="81">
        <v>0</v>
      </c>
      <c r="Q290" s="81">
        <v>0</v>
      </c>
      <c r="R290" s="80"/>
      <c r="S290" s="81"/>
      <c r="T290" s="78">
        <f t="shared" si="23"/>
        <v>0</v>
      </c>
      <c r="U290" s="79">
        <f t="shared" si="20"/>
        <v>0</v>
      </c>
      <c r="V290" s="80"/>
      <c r="W290" s="81"/>
      <c r="X290" s="80"/>
      <c r="Y290" s="81"/>
      <c r="Z290" s="80"/>
      <c r="AA290" s="80"/>
      <c r="AB290" s="80"/>
      <c r="AC290" s="81"/>
      <c r="AD290" s="81"/>
      <c r="AE290" s="81"/>
      <c r="AF290" s="80"/>
      <c r="AG290" s="81"/>
    </row>
    <row r="291" spans="1:33">
      <c r="A291" s="113" t="s">
        <v>384</v>
      </c>
      <c r="B291" s="120" t="s">
        <v>405</v>
      </c>
      <c r="C291" s="115"/>
      <c r="D291" s="117">
        <v>198084</v>
      </c>
      <c r="E291" s="117">
        <v>10</v>
      </c>
      <c r="F291" s="78">
        <f t="shared" si="21"/>
        <v>23610</v>
      </c>
      <c r="G291" s="79">
        <f t="shared" si="22"/>
        <v>21369</v>
      </c>
      <c r="H291" s="80">
        <v>8484</v>
      </c>
      <c r="I291" s="81">
        <v>7681</v>
      </c>
      <c r="J291" s="80">
        <v>45</v>
      </c>
      <c r="K291" s="81">
        <v>112</v>
      </c>
      <c r="L291" s="80">
        <v>15015</v>
      </c>
      <c r="M291" s="80">
        <v>66</v>
      </c>
      <c r="N291" s="80">
        <v>0</v>
      </c>
      <c r="O291" s="81">
        <v>13576</v>
      </c>
      <c r="P291" s="81">
        <v>0</v>
      </c>
      <c r="Q291" s="81">
        <v>0</v>
      </c>
      <c r="R291" s="80"/>
      <c r="S291" s="81"/>
      <c r="T291" s="78">
        <f t="shared" si="23"/>
        <v>0</v>
      </c>
      <c r="U291" s="79">
        <f t="shared" si="20"/>
        <v>0</v>
      </c>
      <c r="V291" s="80"/>
      <c r="W291" s="81"/>
      <c r="X291" s="80"/>
      <c r="Y291" s="81"/>
      <c r="Z291" s="80"/>
      <c r="AA291" s="80"/>
      <c r="AB291" s="80"/>
      <c r="AC291" s="81"/>
      <c r="AD291" s="81"/>
      <c r="AE291" s="81"/>
      <c r="AF291" s="80"/>
      <c r="AG291" s="81"/>
    </row>
    <row r="292" spans="1:33">
      <c r="A292" s="113" t="s">
        <v>384</v>
      </c>
      <c r="B292" s="120" t="s">
        <v>406</v>
      </c>
      <c r="C292" s="115"/>
      <c r="D292" s="117">
        <v>198118</v>
      </c>
      <c r="E292" s="117">
        <v>9</v>
      </c>
      <c r="F292" s="78">
        <f t="shared" si="21"/>
        <v>54297</v>
      </c>
      <c r="G292" s="79">
        <f t="shared" si="22"/>
        <v>53164</v>
      </c>
      <c r="H292" s="80">
        <v>17990</v>
      </c>
      <c r="I292" s="81">
        <v>14961</v>
      </c>
      <c r="J292" s="80">
        <v>1640</v>
      </c>
      <c r="K292" s="81">
        <v>1558</v>
      </c>
      <c r="L292" s="80">
        <v>30182</v>
      </c>
      <c r="M292" s="80">
        <v>4485</v>
      </c>
      <c r="N292" s="80">
        <v>0</v>
      </c>
      <c r="O292" s="81">
        <v>31083</v>
      </c>
      <c r="P292" s="81">
        <v>5562</v>
      </c>
      <c r="Q292" s="81">
        <v>0</v>
      </c>
      <c r="R292" s="80"/>
      <c r="S292" s="81"/>
      <c r="T292" s="78">
        <f t="shared" si="23"/>
        <v>0</v>
      </c>
      <c r="U292" s="79">
        <f t="shared" si="20"/>
        <v>0</v>
      </c>
      <c r="V292" s="80"/>
      <c r="W292" s="81"/>
      <c r="X292" s="80"/>
      <c r="Y292" s="81"/>
      <c r="Z292" s="80"/>
      <c r="AA292" s="80"/>
      <c r="AB292" s="80"/>
      <c r="AC292" s="81"/>
      <c r="AD292" s="81"/>
      <c r="AE292" s="81"/>
      <c r="AF292" s="80"/>
      <c r="AG292" s="81"/>
    </row>
    <row r="293" spans="1:33">
      <c r="A293" s="113" t="s">
        <v>384</v>
      </c>
      <c r="B293" s="120" t="s">
        <v>407</v>
      </c>
      <c r="C293" s="115"/>
      <c r="D293" s="117">
        <v>198154</v>
      </c>
      <c r="E293" s="117">
        <v>8</v>
      </c>
      <c r="F293" s="78">
        <f t="shared" si="21"/>
        <v>135335</v>
      </c>
      <c r="G293" s="79">
        <f t="shared" si="22"/>
        <v>132903</v>
      </c>
      <c r="H293" s="80">
        <v>57761</v>
      </c>
      <c r="I293" s="81">
        <v>55346</v>
      </c>
      <c r="J293" s="80">
        <v>263</v>
      </c>
      <c r="K293" s="81">
        <v>153</v>
      </c>
      <c r="L293" s="80">
        <v>77311</v>
      </c>
      <c r="M293" s="80">
        <v>0</v>
      </c>
      <c r="N293" s="80">
        <v>0</v>
      </c>
      <c r="O293" s="81">
        <v>77404</v>
      </c>
      <c r="P293" s="81">
        <v>0</v>
      </c>
      <c r="Q293" s="81">
        <v>0</v>
      </c>
      <c r="R293" s="80"/>
      <c r="S293" s="81"/>
      <c r="T293" s="78">
        <f t="shared" si="23"/>
        <v>0</v>
      </c>
      <c r="U293" s="79">
        <f t="shared" si="20"/>
        <v>0</v>
      </c>
      <c r="V293" s="80"/>
      <c r="W293" s="81"/>
      <c r="X293" s="80"/>
      <c r="Y293" s="81"/>
      <c r="Z293" s="80"/>
      <c r="AA293" s="80"/>
      <c r="AB293" s="80"/>
      <c r="AC293" s="81"/>
      <c r="AD293" s="81"/>
      <c r="AE293" s="81"/>
      <c r="AF293" s="80"/>
      <c r="AG293" s="81"/>
    </row>
    <row r="294" spans="1:33">
      <c r="A294" s="113" t="s">
        <v>384</v>
      </c>
      <c r="B294" s="120" t="s">
        <v>408</v>
      </c>
      <c r="C294" s="115"/>
      <c r="D294" s="117">
        <v>198206</v>
      </c>
      <c r="E294" s="117">
        <v>10</v>
      </c>
      <c r="F294" s="78">
        <f t="shared" si="21"/>
        <v>22344</v>
      </c>
      <c r="G294" s="79">
        <f t="shared" si="22"/>
        <v>23485</v>
      </c>
      <c r="H294" s="80">
        <v>8518</v>
      </c>
      <c r="I294" s="81">
        <v>8829</v>
      </c>
      <c r="J294" s="80">
        <v>602</v>
      </c>
      <c r="K294" s="81">
        <v>676</v>
      </c>
      <c r="L294" s="80">
        <v>13224</v>
      </c>
      <c r="M294" s="80">
        <v>0</v>
      </c>
      <c r="N294" s="80">
        <v>0</v>
      </c>
      <c r="O294" s="81">
        <v>13980</v>
      </c>
      <c r="P294" s="81">
        <v>0</v>
      </c>
      <c r="Q294" s="81">
        <v>0</v>
      </c>
      <c r="R294" s="80"/>
      <c r="S294" s="81"/>
      <c r="T294" s="78">
        <f t="shared" si="23"/>
        <v>0</v>
      </c>
      <c r="U294" s="79">
        <f t="shared" si="20"/>
        <v>0</v>
      </c>
      <c r="V294" s="80"/>
      <c r="W294" s="81"/>
      <c r="X294" s="80"/>
      <c r="Y294" s="81"/>
      <c r="Z294" s="80"/>
      <c r="AA294" s="80"/>
      <c r="AB294" s="80"/>
      <c r="AC294" s="81"/>
      <c r="AD294" s="81"/>
      <c r="AE294" s="81"/>
      <c r="AF294" s="80"/>
      <c r="AG294" s="81"/>
    </row>
    <row r="295" spans="1:33">
      <c r="A295" s="113" t="s">
        <v>384</v>
      </c>
      <c r="B295" s="120" t="s">
        <v>409</v>
      </c>
      <c r="C295" s="115"/>
      <c r="D295" s="117">
        <v>198233</v>
      </c>
      <c r="E295" s="117">
        <v>9</v>
      </c>
      <c r="F295" s="78">
        <f t="shared" si="21"/>
        <v>71526</v>
      </c>
      <c r="G295" s="79">
        <f t="shared" si="22"/>
        <v>73960</v>
      </c>
      <c r="H295" s="80">
        <v>20507</v>
      </c>
      <c r="I295" s="81">
        <v>20880</v>
      </c>
      <c r="J295" s="80">
        <v>1528</v>
      </c>
      <c r="K295" s="81">
        <v>1279</v>
      </c>
      <c r="L295" s="80">
        <v>49491</v>
      </c>
      <c r="M295" s="80">
        <v>0</v>
      </c>
      <c r="N295" s="80">
        <v>0</v>
      </c>
      <c r="O295" s="81">
        <v>51801</v>
      </c>
      <c r="P295" s="81">
        <v>0</v>
      </c>
      <c r="Q295" s="81">
        <v>0</v>
      </c>
      <c r="R295" s="80"/>
      <c r="S295" s="81"/>
      <c r="T295" s="78">
        <f t="shared" si="23"/>
        <v>0</v>
      </c>
      <c r="U295" s="79">
        <f t="shared" si="20"/>
        <v>0</v>
      </c>
      <c r="V295" s="80"/>
      <c r="W295" s="81"/>
      <c r="X295" s="80"/>
      <c r="Y295" s="81"/>
      <c r="Z295" s="80"/>
      <c r="AA295" s="80"/>
      <c r="AB295" s="80"/>
      <c r="AC295" s="81"/>
      <c r="AD295" s="81"/>
      <c r="AE295" s="81"/>
      <c r="AF295" s="80"/>
      <c r="AG295" s="81"/>
    </row>
    <row r="296" spans="1:33">
      <c r="A296" s="113" t="s">
        <v>384</v>
      </c>
      <c r="B296" s="120" t="s">
        <v>410</v>
      </c>
      <c r="C296" s="115"/>
      <c r="D296" s="117">
        <v>198251</v>
      </c>
      <c r="E296" s="117">
        <v>9</v>
      </c>
      <c r="F296" s="78">
        <f t="shared" si="21"/>
        <v>71988</v>
      </c>
      <c r="G296" s="79">
        <f t="shared" si="22"/>
        <v>71369</v>
      </c>
      <c r="H296" s="80">
        <v>26542</v>
      </c>
      <c r="I296" s="81">
        <v>24380</v>
      </c>
      <c r="J296" s="80">
        <v>2890</v>
      </c>
      <c r="K296" s="81">
        <v>2536</v>
      </c>
      <c r="L296" s="80">
        <v>42556</v>
      </c>
      <c r="M296" s="80">
        <v>0</v>
      </c>
      <c r="N296" s="80">
        <v>0</v>
      </c>
      <c r="O296" s="81">
        <v>44453</v>
      </c>
      <c r="P296" s="81">
        <v>0</v>
      </c>
      <c r="Q296" s="81">
        <v>0</v>
      </c>
      <c r="R296" s="80"/>
      <c r="S296" s="81"/>
      <c r="T296" s="78">
        <f t="shared" si="23"/>
        <v>0</v>
      </c>
      <c r="U296" s="79">
        <f t="shared" si="20"/>
        <v>0</v>
      </c>
      <c r="V296" s="80"/>
      <c r="W296" s="81"/>
      <c r="X296" s="80"/>
      <c r="Y296" s="81"/>
      <c r="Z296" s="80"/>
      <c r="AA296" s="80"/>
      <c r="AB296" s="80"/>
      <c r="AC296" s="81"/>
      <c r="AD296" s="81"/>
      <c r="AE296" s="81"/>
      <c r="AF296" s="80"/>
      <c r="AG296" s="81"/>
    </row>
    <row r="297" spans="1:33">
      <c r="A297" s="113" t="s">
        <v>384</v>
      </c>
      <c r="B297" s="120" t="s">
        <v>411</v>
      </c>
      <c r="C297" s="115"/>
      <c r="D297" s="117">
        <v>198260</v>
      </c>
      <c r="E297" s="117">
        <v>8</v>
      </c>
      <c r="F297" s="78">
        <f t="shared" si="21"/>
        <v>267475</v>
      </c>
      <c r="G297" s="79">
        <f t="shared" si="22"/>
        <v>278224.59999999998</v>
      </c>
      <c r="H297" s="80">
        <v>128177</v>
      </c>
      <c r="I297" s="81">
        <v>126305.60000000001</v>
      </c>
      <c r="J297" s="80">
        <v>3959</v>
      </c>
      <c r="K297" s="81">
        <v>6207</v>
      </c>
      <c r="L297" s="80">
        <v>134808</v>
      </c>
      <c r="M297" s="80">
        <v>0</v>
      </c>
      <c r="N297" s="80">
        <v>531</v>
      </c>
      <c r="O297" s="81">
        <v>145698</v>
      </c>
      <c r="P297" s="81">
        <v>0</v>
      </c>
      <c r="Q297" s="81">
        <v>14</v>
      </c>
      <c r="R297" s="80"/>
      <c r="S297" s="81"/>
      <c r="T297" s="78">
        <f t="shared" si="23"/>
        <v>0</v>
      </c>
      <c r="U297" s="79">
        <f t="shared" si="20"/>
        <v>0</v>
      </c>
      <c r="V297" s="80"/>
      <c r="W297" s="81"/>
      <c r="X297" s="80"/>
      <c r="Y297" s="81"/>
      <c r="Z297" s="80"/>
      <c r="AA297" s="80"/>
      <c r="AB297" s="80"/>
      <c r="AC297" s="81"/>
      <c r="AD297" s="81"/>
      <c r="AE297" s="81"/>
      <c r="AF297" s="80"/>
      <c r="AG297" s="81"/>
    </row>
    <row r="298" spans="1:33">
      <c r="A298" s="113" t="s">
        <v>384</v>
      </c>
      <c r="B298" s="120" t="s">
        <v>412</v>
      </c>
      <c r="C298" s="115"/>
      <c r="D298" s="117">
        <v>198321</v>
      </c>
      <c r="E298" s="117">
        <v>9</v>
      </c>
      <c r="F298" s="78">
        <f t="shared" si="21"/>
        <v>42309</v>
      </c>
      <c r="G298" s="79">
        <f t="shared" si="22"/>
        <v>43071.5</v>
      </c>
      <c r="H298" s="80">
        <v>11327</v>
      </c>
      <c r="I298" s="81">
        <v>10374</v>
      </c>
      <c r="J298" s="80">
        <v>2515</v>
      </c>
      <c r="K298" s="81">
        <v>3009</v>
      </c>
      <c r="L298" s="80">
        <v>28446</v>
      </c>
      <c r="M298" s="80">
        <v>21</v>
      </c>
      <c r="N298" s="80">
        <v>0</v>
      </c>
      <c r="O298" s="81">
        <v>29588.5</v>
      </c>
      <c r="P298" s="81">
        <v>100</v>
      </c>
      <c r="Q298" s="81">
        <v>0</v>
      </c>
      <c r="R298" s="80"/>
      <c r="S298" s="81"/>
      <c r="T298" s="78">
        <f t="shared" si="23"/>
        <v>0</v>
      </c>
      <c r="U298" s="79">
        <f t="shared" si="20"/>
        <v>0</v>
      </c>
      <c r="V298" s="80"/>
      <c r="W298" s="81"/>
      <c r="X298" s="80"/>
      <c r="Y298" s="81"/>
      <c r="Z298" s="80"/>
      <c r="AA298" s="80"/>
      <c r="AB298" s="80"/>
      <c r="AC298" s="81"/>
      <c r="AD298" s="81"/>
      <c r="AE298" s="81"/>
      <c r="AF298" s="80"/>
      <c r="AG298" s="81"/>
    </row>
    <row r="299" spans="1:33">
      <c r="A299" s="113" t="s">
        <v>384</v>
      </c>
      <c r="B299" s="170" t="s">
        <v>413</v>
      </c>
      <c r="C299" s="171"/>
      <c r="D299" s="117">
        <v>198330</v>
      </c>
      <c r="E299" s="117">
        <v>9</v>
      </c>
      <c r="F299" s="78">
        <f t="shared" si="21"/>
        <v>62262</v>
      </c>
      <c r="G299" s="79">
        <f t="shared" si="22"/>
        <v>59301</v>
      </c>
      <c r="H299" s="80">
        <v>32108</v>
      </c>
      <c r="I299" s="81">
        <v>30881</v>
      </c>
      <c r="J299" s="80">
        <v>2879</v>
      </c>
      <c r="K299" s="81">
        <v>2619</v>
      </c>
      <c r="L299" s="80">
        <v>27275</v>
      </c>
      <c r="M299" s="80">
        <v>0</v>
      </c>
      <c r="N299" s="80">
        <v>0</v>
      </c>
      <c r="O299" s="81">
        <v>25801</v>
      </c>
      <c r="P299" s="81">
        <v>0</v>
      </c>
      <c r="Q299" s="81">
        <v>0</v>
      </c>
      <c r="R299" s="80"/>
      <c r="S299" s="81"/>
      <c r="T299" s="78">
        <f t="shared" si="23"/>
        <v>0</v>
      </c>
      <c r="U299" s="79">
        <f t="shared" si="20"/>
        <v>0</v>
      </c>
      <c r="V299" s="80"/>
      <c r="W299" s="81"/>
      <c r="X299" s="80"/>
      <c r="Y299" s="81"/>
      <c r="Z299" s="80"/>
      <c r="AA299" s="80"/>
      <c r="AB299" s="80"/>
      <c r="AC299" s="81"/>
      <c r="AD299" s="81"/>
      <c r="AE299" s="81"/>
      <c r="AF299" s="80"/>
      <c r="AG299" s="81"/>
    </row>
    <row r="300" spans="1:33">
      <c r="A300" s="113" t="s">
        <v>384</v>
      </c>
      <c r="B300" s="120" t="s">
        <v>414</v>
      </c>
      <c r="C300" s="115"/>
      <c r="D300" s="117">
        <v>197814</v>
      </c>
      <c r="E300" s="117">
        <v>10</v>
      </c>
      <c r="F300" s="78">
        <f t="shared" si="21"/>
        <v>36845</v>
      </c>
      <c r="G300" s="79">
        <f t="shared" si="22"/>
        <v>38595</v>
      </c>
      <c r="H300" s="80">
        <v>9394</v>
      </c>
      <c r="I300" s="81">
        <v>9204</v>
      </c>
      <c r="J300" s="80">
        <v>166</v>
      </c>
      <c r="K300" s="81">
        <v>224</v>
      </c>
      <c r="L300" s="80">
        <v>27285</v>
      </c>
      <c r="M300" s="80">
        <v>0</v>
      </c>
      <c r="N300" s="80">
        <v>0</v>
      </c>
      <c r="O300" s="81">
        <v>29026</v>
      </c>
      <c r="P300" s="81">
        <v>141</v>
      </c>
      <c r="Q300" s="81">
        <v>0</v>
      </c>
      <c r="R300" s="80"/>
      <c r="S300" s="81"/>
      <c r="T300" s="78">
        <f t="shared" si="23"/>
        <v>0</v>
      </c>
      <c r="U300" s="79">
        <f t="shared" si="20"/>
        <v>0</v>
      </c>
      <c r="V300" s="80"/>
      <c r="W300" s="81"/>
      <c r="X300" s="80"/>
      <c r="Y300" s="81"/>
      <c r="Z300" s="80"/>
      <c r="AA300" s="80"/>
      <c r="AB300" s="80"/>
      <c r="AC300" s="81"/>
      <c r="AD300" s="81"/>
      <c r="AE300" s="81"/>
      <c r="AF300" s="80"/>
      <c r="AG300" s="81"/>
    </row>
    <row r="301" spans="1:33">
      <c r="A301" s="113" t="s">
        <v>384</v>
      </c>
      <c r="B301" s="120" t="s">
        <v>415</v>
      </c>
      <c r="C301" s="115"/>
      <c r="D301" s="117">
        <v>198367</v>
      </c>
      <c r="E301" s="117">
        <v>9</v>
      </c>
      <c r="F301" s="78">
        <f t="shared" si="21"/>
        <v>47160</v>
      </c>
      <c r="G301" s="79">
        <f t="shared" si="22"/>
        <v>47117</v>
      </c>
      <c r="H301" s="80">
        <v>15845</v>
      </c>
      <c r="I301" s="81">
        <v>14589</v>
      </c>
      <c r="J301" s="80">
        <v>402</v>
      </c>
      <c r="K301" s="81">
        <v>326</v>
      </c>
      <c r="L301" s="80">
        <v>30913</v>
      </c>
      <c r="M301" s="80">
        <v>0</v>
      </c>
      <c r="N301" s="80">
        <v>0</v>
      </c>
      <c r="O301" s="81">
        <v>32202</v>
      </c>
      <c r="P301" s="81">
        <v>0</v>
      </c>
      <c r="Q301" s="81">
        <v>0</v>
      </c>
      <c r="R301" s="80"/>
      <c r="S301" s="81"/>
      <c r="T301" s="78">
        <f t="shared" si="23"/>
        <v>0</v>
      </c>
      <c r="U301" s="79">
        <f t="shared" si="20"/>
        <v>0</v>
      </c>
      <c r="V301" s="80"/>
      <c r="W301" s="81"/>
      <c r="X301" s="80"/>
      <c r="Y301" s="81"/>
      <c r="Z301" s="80"/>
      <c r="AA301" s="80"/>
      <c r="AB301" s="80"/>
      <c r="AC301" s="81"/>
      <c r="AD301" s="81"/>
      <c r="AE301" s="81"/>
      <c r="AF301" s="80"/>
      <c r="AG301" s="81"/>
    </row>
    <row r="302" spans="1:33">
      <c r="A302" s="113" t="s">
        <v>384</v>
      </c>
      <c r="B302" s="120" t="s">
        <v>416</v>
      </c>
      <c r="C302" s="115"/>
      <c r="D302" s="117">
        <v>198376</v>
      </c>
      <c r="E302" s="117">
        <v>9</v>
      </c>
      <c r="F302" s="78">
        <f t="shared" si="21"/>
        <v>61654</v>
      </c>
      <c r="G302" s="79">
        <f t="shared" si="22"/>
        <v>59463</v>
      </c>
      <c r="H302" s="80">
        <v>16307</v>
      </c>
      <c r="I302" s="81">
        <v>13639</v>
      </c>
      <c r="J302" s="80">
        <v>303</v>
      </c>
      <c r="K302" s="81">
        <v>267</v>
      </c>
      <c r="L302" s="80">
        <v>44632</v>
      </c>
      <c r="M302" s="80">
        <v>412</v>
      </c>
      <c r="N302" s="80">
        <v>0</v>
      </c>
      <c r="O302" s="81">
        <v>45151</v>
      </c>
      <c r="P302" s="81">
        <v>406</v>
      </c>
      <c r="Q302" s="81">
        <v>0</v>
      </c>
      <c r="R302" s="80"/>
      <c r="S302" s="81"/>
      <c r="T302" s="78">
        <f t="shared" si="23"/>
        <v>0</v>
      </c>
      <c r="U302" s="79">
        <f t="shared" si="20"/>
        <v>0</v>
      </c>
      <c r="V302" s="80"/>
      <c r="W302" s="81"/>
      <c r="X302" s="80"/>
      <c r="Y302" s="81"/>
      <c r="Z302" s="80"/>
      <c r="AA302" s="80"/>
      <c r="AB302" s="80"/>
      <c r="AC302" s="81"/>
      <c r="AD302" s="81"/>
      <c r="AE302" s="81"/>
      <c r="AF302" s="80"/>
      <c r="AG302" s="81"/>
    </row>
    <row r="303" spans="1:33">
      <c r="A303" s="113" t="s">
        <v>384</v>
      </c>
      <c r="B303" s="120" t="s">
        <v>417</v>
      </c>
      <c r="C303" s="115"/>
      <c r="D303" s="117">
        <v>198455</v>
      </c>
      <c r="E303" s="117">
        <v>9</v>
      </c>
      <c r="F303" s="78">
        <f t="shared" si="21"/>
        <v>65888</v>
      </c>
      <c r="G303" s="79">
        <f t="shared" si="22"/>
        <v>70365</v>
      </c>
      <c r="H303" s="80">
        <v>33986</v>
      </c>
      <c r="I303" s="81">
        <v>33574</v>
      </c>
      <c r="J303" s="80">
        <v>794</v>
      </c>
      <c r="K303" s="81">
        <v>757</v>
      </c>
      <c r="L303" s="80">
        <v>31108</v>
      </c>
      <c r="M303" s="80">
        <v>0</v>
      </c>
      <c r="N303" s="80">
        <v>0</v>
      </c>
      <c r="O303" s="81">
        <v>36034</v>
      </c>
      <c r="P303" s="81">
        <v>0</v>
      </c>
      <c r="Q303" s="81">
        <v>0</v>
      </c>
      <c r="R303" s="80"/>
      <c r="S303" s="81"/>
      <c r="T303" s="78">
        <f t="shared" si="23"/>
        <v>0</v>
      </c>
      <c r="U303" s="79">
        <f t="shared" si="20"/>
        <v>0</v>
      </c>
      <c r="V303" s="80"/>
      <c r="W303" s="81"/>
      <c r="X303" s="80"/>
      <c r="Y303" s="81"/>
      <c r="Z303" s="80"/>
      <c r="AA303" s="80"/>
      <c r="AB303" s="80"/>
      <c r="AC303" s="81"/>
      <c r="AD303" s="81"/>
      <c r="AE303" s="81"/>
      <c r="AF303" s="80"/>
      <c r="AG303" s="81"/>
    </row>
    <row r="304" spans="1:33">
      <c r="A304" s="113" t="s">
        <v>384</v>
      </c>
      <c r="B304" s="120" t="s">
        <v>418</v>
      </c>
      <c r="C304" s="173" t="s">
        <v>357</v>
      </c>
      <c r="D304" s="117">
        <v>198491</v>
      </c>
      <c r="E304" s="117">
        <v>9</v>
      </c>
      <c r="F304" s="78">
        <f t="shared" si="21"/>
        <v>37016</v>
      </c>
      <c r="G304" s="79">
        <f t="shared" si="22"/>
        <v>36501</v>
      </c>
      <c r="H304" s="80">
        <v>10836</v>
      </c>
      <c r="I304" s="81">
        <v>9727</v>
      </c>
      <c r="J304" s="80">
        <v>970</v>
      </c>
      <c r="K304" s="81">
        <v>1634</v>
      </c>
      <c r="L304" s="80">
        <v>25210</v>
      </c>
      <c r="M304" s="80">
        <v>0</v>
      </c>
      <c r="N304" s="80">
        <v>0</v>
      </c>
      <c r="O304" s="81">
        <v>25140</v>
      </c>
      <c r="P304" s="81">
        <v>0</v>
      </c>
      <c r="Q304" s="81">
        <v>0</v>
      </c>
      <c r="R304" s="80"/>
      <c r="S304" s="81"/>
      <c r="T304" s="78">
        <f t="shared" si="23"/>
        <v>0</v>
      </c>
      <c r="U304" s="79">
        <f t="shared" si="20"/>
        <v>0</v>
      </c>
      <c r="V304" s="80"/>
      <c r="W304" s="81"/>
      <c r="X304" s="80"/>
      <c r="Y304" s="81"/>
      <c r="Z304" s="80"/>
      <c r="AA304" s="80"/>
      <c r="AB304" s="80"/>
      <c r="AC304" s="81"/>
      <c r="AD304" s="81"/>
      <c r="AE304" s="81"/>
      <c r="AF304" s="80"/>
      <c r="AG304" s="81"/>
    </row>
    <row r="305" spans="1:33">
      <c r="A305" s="113" t="s">
        <v>384</v>
      </c>
      <c r="B305" s="120" t="s">
        <v>419</v>
      </c>
      <c r="C305" s="115"/>
      <c r="D305" s="117">
        <v>198534</v>
      </c>
      <c r="E305" s="117">
        <v>8</v>
      </c>
      <c r="F305" s="78">
        <f t="shared" si="21"/>
        <v>192126</v>
      </c>
      <c r="G305" s="79">
        <f t="shared" si="22"/>
        <v>196943</v>
      </c>
      <c r="H305" s="80">
        <v>55355</v>
      </c>
      <c r="I305" s="81">
        <v>53600</v>
      </c>
      <c r="J305" s="80">
        <v>2154</v>
      </c>
      <c r="K305" s="81">
        <v>2535</v>
      </c>
      <c r="L305" s="80">
        <v>134399</v>
      </c>
      <c r="M305" s="80">
        <v>218</v>
      </c>
      <c r="N305" s="80">
        <v>0</v>
      </c>
      <c r="O305" s="81">
        <v>140736</v>
      </c>
      <c r="P305" s="81">
        <v>72</v>
      </c>
      <c r="Q305" s="81">
        <v>0</v>
      </c>
      <c r="R305" s="80"/>
      <c r="S305" s="81"/>
      <c r="T305" s="78">
        <f t="shared" si="23"/>
        <v>0</v>
      </c>
      <c r="U305" s="79">
        <f t="shared" si="20"/>
        <v>0</v>
      </c>
      <c r="V305" s="80"/>
      <c r="W305" s="81"/>
      <c r="X305" s="80"/>
      <c r="Y305" s="81"/>
      <c r="Z305" s="80"/>
      <c r="AA305" s="80"/>
      <c r="AB305" s="80"/>
      <c r="AC305" s="81"/>
      <c r="AD305" s="81"/>
      <c r="AE305" s="81"/>
      <c r="AF305" s="80"/>
      <c r="AG305" s="81"/>
    </row>
    <row r="306" spans="1:33">
      <c r="A306" s="113" t="s">
        <v>384</v>
      </c>
      <c r="B306" s="120" t="s">
        <v>420</v>
      </c>
      <c r="C306" s="115"/>
      <c r="D306" s="117">
        <v>198552</v>
      </c>
      <c r="E306" s="117">
        <v>8</v>
      </c>
      <c r="F306" s="78">
        <f t="shared" si="21"/>
        <v>112447</v>
      </c>
      <c r="G306" s="79">
        <f t="shared" si="22"/>
        <v>110781</v>
      </c>
      <c r="H306" s="80">
        <v>56026</v>
      </c>
      <c r="I306" s="81">
        <v>52402</v>
      </c>
      <c r="J306" s="80">
        <v>3689</v>
      </c>
      <c r="K306" s="81">
        <v>2975</v>
      </c>
      <c r="L306" s="80">
        <v>52067</v>
      </c>
      <c r="M306" s="80">
        <v>665</v>
      </c>
      <c r="N306" s="80">
        <v>0</v>
      </c>
      <c r="O306" s="81">
        <v>54841</v>
      </c>
      <c r="P306" s="81">
        <v>563</v>
      </c>
      <c r="Q306" s="81">
        <v>0</v>
      </c>
      <c r="R306" s="80"/>
      <c r="S306" s="81"/>
      <c r="T306" s="78">
        <f t="shared" si="23"/>
        <v>0</v>
      </c>
      <c r="U306" s="79">
        <f t="shared" si="20"/>
        <v>0</v>
      </c>
      <c r="V306" s="80"/>
      <c r="W306" s="81"/>
      <c r="X306" s="80"/>
      <c r="Y306" s="81"/>
      <c r="Z306" s="80"/>
      <c r="AA306" s="80"/>
      <c r="AB306" s="80"/>
      <c r="AC306" s="81"/>
      <c r="AD306" s="81"/>
      <c r="AE306" s="81"/>
      <c r="AF306" s="80"/>
      <c r="AG306" s="81"/>
    </row>
    <row r="307" spans="1:33">
      <c r="A307" s="113" t="s">
        <v>384</v>
      </c>
      <c r="B307" s="120" t="s">
        <v>421</v>
      </c>
      <c r="C307" s="121"/>
      <c r="D307" s="117">
        <v>198570</v>
      </c>
      <c r="E307" s="117">
        <v>9</v>
      </c>
      <c r="F307" s="78">
        <f t="shared" si="21"/>
        <v>82777</v>
      </c>
      <c r="G307" s="79">
        <f t="shared" si="22"/>
        <v>79656</v>
      </c>
      <c r="H307" s="80">
        <v>31606</v>
      </c>
      <c r="I307" s="81">
        <v>28261</v>
      </c>
      <c r="J307" s="80">
        <v>661</v>
      </c>
      <c r="K307" s="81">
        <v>884</v>
      </c>
      <c r="L307" s="80">
        <v>50006</v>
      </c>
      <c r="M307" s="80">
        <v>504</v>
      </c>
      <c r="N307" s="80">
        <v>0</v>
      </c>
      <c r="O307" s="81">
        <v>49848</v>
      </c>
      <c r="P307" s="81">
        <v>663</v>
      </c>
      <c r="Q307" s="81">
        <v>0</v>
      </c>
      <c r="R307" s="80"/>
      <c r="S307" s="81"/>
      <c r="T307" s="78">
        <f t="shared" si="23"/>
        <v>0</v>
      </c>
      <c r="U307" s="79">
        <f t="shared" si="20"/>
        <v>0</v>
      </c>
      <c r="V307" s="80"/>
      <c r="W307" s="81"/>
      <c r="X307" s="80"/>
      <c r="Y307" s="81"/>
      <c r="Z307" s="80"/>
      <c r="AA307" s="80"/>
      <c r="AB307" s="80"/>
      <c r="AC307" s="81"/>
      <c r="AD307" s="81"/>
      <c r="AE307" s="81"/>
      <c r="AF307" s="80"/>
      <c r="AG307" s="81"/>
    </row>
    <row r="308" spans="1:33">
      <c r="A308" s="113" t="s">
        <v>384</v>
      </c>
      <c r="B308" s="120" t="s">
        <v>422</v>
      </c>
      <c r="C308" s="115"/>
      <c r="D308" s="117">
        <v>198622</v>
      </c>
      <c r="E308" s="117">
        <v>8</v>
      </c>
      <c r="F308" s="78">
        <f t="shared" si="21"/>
        <v>165844</v>
      </c>
      <c r="G308" s="79">
        <f t="shared" si="22"/>
        <v>153809.5</v>
      </c>
      <c r="H308" s="80">
        <v>81489</v>
      </c>
      <c r="I308" s="81">
        <v>72899.5</v>
      </c>
      <c r="J308" s="80">
        <v>1966</v>
      </c>
      <c r="K308" s="81">
        <v>2317</v>
      </c>
      <c r="L308" s="80">
        <v>82389</v>
      </c>
      <c r="M308" s="80">
        <v>0</v>
      </c>
      <c r="N308" s="80">
        <v>0</v>
      </c>
      <c r="O308" s="81">
        <v>78593</v>
      </c>
      <c r="P308" s="81">
        <v>0</v>
      </c>
      <c r="Q308" s="81">
        <v>0</v>
      </c>
      <c r="R308" s="80"/>
      <c r="S308" s="81"/>
      <c r="T308" s="78">
        <f t="shared" si="23"/>
        <v>0</v>
      </c>
      <c r="U308" s="79">
        <f t="shared" si="20"/>
        <v>0</v>
      </c>
      <c r="V308" s="80"/>
      <c r="W308" s="81"/>
      <c r="X308" s="80"/>
      <c r="Y308" s="81"/>
      <c r="Z308" s="80"/>
      <c r="AA308" s="80"/>
      <c r="AB308" s="80"/>
      <c r="AC308" s="81"/>
      <c r="AD308" s="81"/>
      <c r="AE308" s="81"/>
      <c r="AF308" s="80"/>
      <c r="AG308" s="81"/>
    </row>
    <row r="309" spans="1:33">
      <c r="A309" s="113" t="s">
        <v>384</v>
      </c>
      <c r="B309" s="120" t="s">
        <v>423</v>
      </c>
      <c r="C309" s="115"/>
      <c r="D309" s="117">
        <v>198640</v>
      </c>
      <c r="E309" s="117">
        <v>10</v>
      </c>
      <c r="F309" s="78">
        <f t="shared" si="21"/>
        <v>17805</v>
      </c>
      <c r="G309" s="79">
        <f t="shared" si="22"/>
        <v>17462</v>
      </c>
      <c r="H309" s="80">
        <v>4985</v>
      </c>
      <c r="I309" s="81">
        <v>4237</v>
      </c>
      <c r="J309" s="80">
        <v>1430</v>
      </c>
      <c r="K309" s="81">
        <v>1384</v>
      </c>
      <c r="L309" s="80">
        <v>11126</v>
      </c>
      <c r="M309" s="80">
        <v>264</v>
      </c>
      <c r="N309" s="80">
        <v>0</v>
      </c>
      <c r="O309" s="81">
        <v>11607</v>
      </c>
      <c r="P309" s="81">
        <v>234</v>
      </c>
      <c r="Q309" s="81">
        <v>0</v>
      </c>
      <c r="R309" s="80"/>
      <c r="S309" s="81"/>
      <c r="T309" s="78">
        <f t="shared" si="23"/>
        <v>0</v>
      </c>
      <c r="U309" s="79">
        <f t="shared" si="20"/>
        <v>0</v>
      </c>
      <c r="V309" s="80"/>
      <c r="W309" s="81"/>
      <c r="X309" s="80"/>
      <c r="Y309" s="81"/>
      <c r="Z309" s="80"/>
      <c r="AA309" s="80"/>
      <c r="AB309" s="80"/>
      <c r="AC309" s="81"/>
      <c r="AD309" s="81"/>
      <c r="AE309" s="81"/>
      <c r="AF309" s="80"/>
      <c r="AG309" s="81"/>
    </row>
    <row r="310" spans="1:33">
      <c r="A310" s="113" t="s">
        <v>384</v>
      </c>
      <c r="B310" s="120" t="s">
        <v>424</v>
      </c>
      <c r="C310" s="121"/>
      <c r="D310" s="117">
        <v>198668</v>
      </c>
      <c r="E310" s="117">
        <v>10</v>
      </c>
      <c r="F310" s="78">
        <f t="shared" si="21"/>
        <v>24794</v>
      </c>
      <c r="G310" s="79">
        <f t="shared" si="22"/>
        <v>22934</v>
      </c>
      <c r="H310" s="80">
        <v>8044</v>
      </c>
      <c r="I310" s="81">
        <v>7136</v>
      </c>
      <c r="J310" s="80">
        <v>465</v>
      </c>
      <c r="K310" s="81">
        <v>251</v>
      </c>
      <c r="L310" s="80">
        <v>16285</v>
      </c>
      <c r="M310" s="80">
        <v>0</v>
      </c>
      <c r="N310" s="80">
        <v>0</v>
      </c>
      <c r="O310" s="81">
        <v>15547</v>
      </c>
      <c r="P310" s="81">
        <v>0</v>
      </c>
      <c r="Q310" s="81">
        <v>0</v>
      </c>
      <c r="R310" s="80"/>
      <c r="S310" s="81"/>
      <c r="T310" s="78">
        <f t="shared" si="23"/>
        <v>0</v>
      </c>
      <c r="U310" s="79">
        <f t="shared" si="20"/>
        <v>0</v>
      </c>
      <c r="V310" s="80"/>
      <c r="W310" s="81"/>
      <c r="X310" s="80"/>
      <c r="Y310" s="81"/>
      <c r="Z310" s="80"/>
      <c r="AA310" s="80"/>
      <c r="AB310" s="80"/>
      <c r="AC310" s="81"/>
      <c r="AD310" s="81"/>
      <c r="AE310" s="81"/>
      <c r="AF310" s="80"/>
      <c r="AG310" s="81"/>
    </row>
    <row r="311" spans="1:33">
      <c r="A311" s="113" t="s">
        <v>384</v>
      </c>
      <c r="B311" s="120" t="s">
        <v>425</v>
      </c>
      <c r="C311" s="121"/>
      <c r="D311" s="117">
        <v>198710</v>
      </c>
      <c r="E311" s="172">
        <v>10</v>
      </c>
      <c r="F311" s="78">
        <f t="shared" si="21"/>
        <v>30188</v>
      </c>
      <c r="G311" s="79">
        <f t="shared" si="22"/>
        <v>30376</v>
      </c>
      <c r="H311" s="80">
        <v>9683</v>
      </c>
      <c r="I311" s="81">
        <v>8702</v>
      </c>
      <c r="J311" s="80">
        <v>2385</v>
      </c>
      <c r="K311" s="81">
        <v>2156</v>
      </c>
      <c r="L311" s="80">
        <v>18120</v>
      </c>
      <c r="M311" s="80">
        <v>0</v>
      </c>
      <c r="N311" s="80">
        <v>0</v>
      </c>
      <c r="O311" s="81">
        <v>19518</v>
      </c>
      <c r="P311" s="81">
        <v>0</v>
      </c>
      <c r="Q311" s="81">
        <v>0</v>
      </c>
      <c r="R311" s="80"/>
      <c r="S311" s="81"/>
      <c r="T311" s="78">
        <f t="shared" si="23"/>
        <v>0</v>
      </c>
      <c r="U311" s="79">
        <f t="shared" si="20"/>
        <v>0</v>
      </c>
      <c r="V311" s="80"/>
      <c r="W311" s="81"/>
      <c r="X311" s="80"/>
      <c r="Y311" s="81"/>
      <c r="Z311" s="80"/>
      <c r="AA311" s="80"/>
      <c r="AB311" s="80"/>
      <c r="AC311" s="81"/>
      <c r="AD311" s="81"/>
      <c r="AE311" s="81"/>
      <c r="AF311" s="80"/>
      <c r="AG311" s="81"/>
    </row>
    <row r="312" spans="1:33">
      <c r="A312" s="113" t="s">
        <v>384</v>
      </c>
      <c r="B312" s="120" t="s">
        <v>426</v>
      </c>
      <c r="C312" s="115"/>
      <c r="D312" s="117">
        <v>198729</v>
      </c>
      <c r="E312" s="117">
        <v>10</v>
      </c>
      <c r="F312" s="78">
        <f t="shared" si="21"/>
        <v>17956</v>
      </c>
      <c r="G312" s="79">
        <f t="shared" si="22"/>
        <v>18595</v>
      </c>
      <c r="H312" s="80">
        <v>6905</v>
      </c>
      <c r="I312" s="81">
        <v>6107</v>
      </c>
      <c r="J312" s="80">
        <v>44</v>
      </c>
      <c r="K312" s="81">
        <v>402</v>
      </c>
      <c r="L312" s="80">
        <v>10314</v>
      </c>
      <c r="M312" s="80">
        <v>693</v>
      </c>
      <c r="N312" s="80">
        <v>0</v>
      </c>
      <c r="O312" s="81">
        <v>11339</v>
      </c>
      <c r="P312" s="81">
        <v>747</v>
      </c>
      <c r="Q312" s="81">
        <v>0</v>
      </c>
      <c r="R312" s="80"/>
      <c r="S312" s="81"/>
      <c r="T312" s="78">
        <f t="shared" si="23"/>
        <v>0</v>
      </c>
      <c r="U312" s="79">
        <f t="shared" si="20"/>
        <v>0</v>
      </c>
      <c r="V312" s="80"/>
      <c r="W312" s="81"/>
      <c r="X312" s="80"/>
      <c r="Y312" s="81"/>
      <c r="Z312" s="80"/>
      <c r="AA312" s="80"/>
      <c r="AB312" s="80"/>
      <c r="AC312" s="81"/>
      <c r="AD312" s="81"/>
      <c r="AE312" s="81"/>
      <c r="AF312" s="80"/>
      <c r="AG312" s="81"/>
    </row>
    <row r="313" spans="1:33">
      <c r="A313" s="113" t="s">
        <v>384</v>
      </c>
      <c r="B313" s="120" t="s">
        <v>427</v>
      </c>
      <c r="C313" s="115"/>
      <c r="D313" s="117">
        <v>198774</v>
      </c>
      <c r="E313" s="117">
        <v>9</v>
      </c>
      <c r="F313" s="78">
        <f t="shared" si="21"/>
        <v>59310</v>
      </c>
      <c r="G313" s="79">
        <f t="shared" si="22"/>
        <v>57589</v>
      </c>
      <c r="H313" s="80">
        <v>21760</v>
      </c>
      <c r="I313" s="81">
        <v>19531</v>
      </c>
      <c r="J313" s="80">
        <v>3653</v>
      </c>
      <c r="K313" s="81">
        <v>2417</v>
      </c>
      <c r="L313" s="80">
        <v>33372</v>
      </c>
      <c r="M313" s="80">
        <v>525</v>
      </c>
      <c r="N313" s="80">
        <v>0</v>
      </c>
      <c r="O313" s="81">
        <v>35343</v>
      </c>
      <c r="P313" s="81">
        <v>298</v>
      </c>
      <c r="Q313" s="81">
        <v>0</v>
      </c>
      <c r="R313" s="80"/>
      <c r="S313" s="81"/>
      <c r="T313" s="78">
        <f t="shared" si="23"/>
        <v>0</v>
      </c>
      <c r="U313" s="79">
        <f t="shared" si="20"/>
        <v>0</v>
      </c>
      <c r="V313" s="80"/>
      <c r="W313" s="81"/>
      <c r="X313" s="80"/>
      <c r="Y313" s="81"/>
      <c r="Z313" s="80"/>
      <c r="AA313" s="80"/>
      <c r="AB313" s="80"/>
      <c r="AC313" s="81"/>
      <c r="AD313" s="81"/>
      <c r="AE313" s="81"/>
      <c r="AF313" s="80"/>
      <c r="AG313" s="81"/>
    </row>
    <row r="314" spans="1:33">
      <c r="A314" s="113" t="s">
        <v>384</v>
      </c>
      <c r="B314" s="120" t="s">
        <v>428</v>
      </c>
      <c r="C314" s="115"/>
      <c r="D314" s="117">
        <v>198817</v>
      </c>
      <c r="E314" s="117">
        <v>9</v>
      </c>
      <c r="F314" s="78">
        <f t="shared" si="21"/>
        <v>43783</v>
      </c>
      <c r="G314" s="79">
        <f t="shared" si="22"/>
        <v>43509</v>
      </c>
      <c r="H314" s="80">
        <v>10871</v>
      </c>
      <c r="I314" s="81">
        <v>9937</v>
      </c>
      <c r="J314" s="80">
        <v>1181</v>
      </c>
      <c r="K314" s="81">
        <v>1248</v>
      </c>
      <c r="L314" s="80">
        <v>31731</v>
      </c>
      <c r="M314" s="80">
        <v>0</v>
      </c>
      <c r="N314" s="80">
        <v>0</v>
      </c>
      <c r="O314" s="81">
        <v>32324</v>
      </c>
      <c r="P314" s="81">
        <v>0</v>
      </c>
      <c r="Q314" s="81">
        <v>0</v>
      </c>
      <c r="R314" s="80"/>
      <c r="S314" s="81"/>
      <c r="T314" s="78">
        <f t="shared" si="23"/>
        <v>0</v>
      </c>
      <c r="U314" s="79">
        <f t="shared" si="20"/>
        <v>0</v>
      </c>
      <c r="V314" s="80"/>
      <c r="W314" s="81"/>
      <c r="X314" s="80"/>
      <c r="Y314" s="81"/>
      <c r="Z314" s="80"/>
      <c r="AA314" s="80"/>
      <c r="AB314" s="80"/>
      <c r="AC314" s="81"/>
      <c r="AD314" s="81"/>
      <c r="AE314" s="81"/>
      <c r="AF314" s="80"/>
      <c r="AG314" s="81"/>
    </row>
    <row r="315" spans="1:33">
      <c r="A315" s="113" t="s">
        <v>384</v>
      </c>
      <c r="B315" s="120" t="s">
        <v>429</v>
      </c>
      <c r="C315" s="115"/>
      <c r="D315" s="117">
        <v>198905</v>
      </c>
      <c r="E315" s="117">
        <v>10</v>
      </c>
      <c r="F315" s="78">
        <f t="shared" si="21"/>
        <v>11524</v>
      </c>
      <c r="G315" s="79">
        <f t="shared" si="22"/>
        <v>12656</v>
      </c>
      <c r="H315" s="80">
        <v>2774</v>
      </c>
      <c r="I315" s="81">
        <v>3113</v>
      </c>
      <c r="J315" s="80">
        <v>417</v>
      </c>
      <c r="K315" s="81">
        <v>210</v>
      </c>
      <c r="L315" s="80">
        <v>8046</v>
      </c>
      <c r="M315" s="80">
        <v>287</v>
      </c>
      <c r="N315" s="80">
        <v>0</v>
      </c>
      <c r="O315" s="81">
        <v>9333</v>
      </c>
      <c r="P315" s="81">
        <v>0</v>
      </c>
      <c r="Q315" s="81">
        <v>0</v>
      </c>
      <c r="R315" s="80"/>
      <c r="S315" s="81"/>
      <c r="T315" s="78">
        <f t="shared" si="23"/>
        <v>0</v>
      </c>
      <c r="U315" s="79">
        <f t="shared" si="20"/>
        <v>0</v>
      </c>
      <c r="V315" s="80"/>
      <c r="W315" s="81"/>
      <c r="X315" s="80"/>
      <c r="Y315" s="81"/>
      <c r="Z315" s="80"/>
      <c r="AA315" s="80"/>
      <c r="AB315" s="80"/>
      <c r="AC315" s="81"/>
      <c r="AD315" s="81"/>
      <c r="AE315" s="81"/>
      <c r="AF315" s="80"/>
      <c r="AG315" s="81"/>
    </row>
    <row r="316" spans="1:33">
      <c r="A316" s="113" t="s">
        <v>384</v>
      </c>
      <c r="B316" s="120" t="s">
        <v>430</v>
      </c>
      <c r="C316" s="115"/>
      <c r="D316" s="117">
        <v>198914</v>
      </c>
      <c r="E316" s="117">
        <v>10</v>
      </c>
      <c r="F316" s="78">
        <f t="shared" si="21"/>
        <v>12634</v>
      </c>
      <c r="G316" s="79">
        <f t="shared" si="22"/>
        <v>13507</v>
      </c>
      <c r="H316" s="80">
        <v>4737</v>
      </c>
      <c r="I316" s="81">
        <v>4996</v>
      </c>
      <c r="J316" s="80">
        <v>1350</v>
      </c>
      <c r="K316" s="81">
        <v>1522</v>
      </c>
      <c r="L316" s="80">
        <v>6547</v>
      </c>
      <c r="M316" s="80">
        <v>0</v>
      </c>
      <c r="N316" s="80">
        <v>0</v>
      </c>
      <c r="O316" s="81">
        <v>6965</v>
      </c>
      <c r="P316" s="81">
        <v>0</v>
      </c>
      <c r="Q316" s="81">
        <v>24</v>
      </c>
      <c r="R316" s="80"/>
      <c r="S316" s="81"/>
      <c r="T316" s="78">
        <f t="shared" si="23"/>
        <v>0</v>
      </c>
      <c r="U316" s="79">
        <f t="shared" si="20"/>
        <v>0</v>
      </c>
      <c r="V316" s="80"/>
      <c r="W316" s="81"/>
      <c r="X316" s="80"/>
      <c r="Y316" s="81"/>
      <c r="Z316" s="80"/>
      <c r="AA316" s="80"/>
      <c r="AB316" s="80"/>
      <c r="AC316" s="81"/>
      <c r="AD316" s="81"/>
      <c r="AE316" s="81"/>
      <c r="AF316" s="80"/>
      <c r="AG316" s="81"/>
    </row>
    <row r="317" spans="1:33">
      <c r="A317" s="113" t="s">
        <v>384</v>
      </c>
      <c r="B317" s="120" t="s">
        <v>431</v>
      </c>
      <c r="C317" s="115"/>
      <c r="D317" s="117">
        <v>198923</v>
      </c>
      <c r="E317" s="117">
        <v>10</v>
      </c>
      <c r="F317" s="78">
        <f t="shared" si="21"/>
        <v>15786</v>
      </c>
      <c r="G317" s="79">
        <f t="shared" si="22"/>
        <v>15575</v>
      </c>
      <c r="H317" s="80">
        <v>6648</v>
      </c>
      <c r="I317" s="81">
        <v>5943</v>
      </c>
      <c r="J317" s="80">
        <v>41</v>
      </c>
      <c r="K317" s="81">
        <v>253</v>
      </c>
      <c r="L317" s="80">
        <v>9049</v>
      </c>
      <c r="M317" s="80">
        <v>48</v>
      </c>
      <c r="N317" s="80">
        <v>0</v>
      </c>
      <c r="O317" s="81">
        <v>9346</v>
      </c>
      <c r="P317" s="81">
        <v>33</v>
      </c>
      <c r="Q317" s="81">
        <v>0</v>
      </c>
      <c r="R317" s="80"/>
      <c r="S317" s="81"/>
      <c r="T317" s="78">
        <f t="shared" si="23"/>
        <v>0</v>
      </c>
      <c r="U317" s="79">
        <f t="shared" si="20"/>
        <v>0</v>
      </c>
      <c r="V317" s="80"/>
      <c r="W317" s="81"/>
      <c r="X317" s="80"/>
      <c r="Y317" s="81"/>
      <c r="Z317" s="80"/>
      <c r="AA317" s="80"/>
      <c r="AB317" s="80"/>
      <c r="AC317" s="81"/>
      <c r="AD317" s="81"/>
      <c r="AE317" s="81"/>
      <c r="AF317" s="80"/>
      <c r="AG317" s="81"/>
    </row>
    <row r="318" spans="1:33">
      <c r="A318" s="113" t="s">
        <v>384</v>
      </c>
      <c r="B318" s="120" t="s">
        <v>432</v>
      </c>
      <c r="C318" s="115"/>
      <c r="D318" s="117">
        <v>198987</v>
      </c>
      <c r="E318" s="117">
        <v>9</v>
      </c>
      <c r="F318" s="78">
        <f t="shared" si="21"/>
        <v>47128</v>
      </c>
      <c r="G318" s="79">
        <f t="shared" si="22"/>
        <v>47091</v>
      </c>
      <c r="H318" s="80">
        <v>12524</v>
      </c>
      <c r="I318" s="81">
        <v>11099</v>
      </c>
      <c r="J318" s="80">
        <v>424</v>
      </c>
      <c r="K318" s="81">
        <v>1564</v>
      </c>
      <c r="L318" s="80">
        <v>34180</v>
      </c>
      <c r="M318" s="80">
        <v>0</v>
      </c>
      <c r="N318" s="80">
        <v>0</v>
      </c>
      <c r="O318" s="81">
        <v>34428</v>
      </c>
      <c r="P318" s="81">
        <v>0</v>
      </c>
      <c r="Q318" s="81">
        <v>0</v>
      </c>
      <c r="R318" s="80"/>
      <c r="S318" s="81"/>
      <c r="T318" s="78">
        <f t="shared" si="23"/>
        <v>0</v>
      </c>
      <c r="U318" s="79">
        <f t="shared" si="20"/>
        <v>0</v>
      </c>
      <c r="V318" s="80"/>
      <c r="W318" s="81"/>
      <c r="X318" s="80"/>
      <c r="Y318" s="81"/>
      <c r="Z318" s="80"/>
      <c r="AA318" s="80"/>
      <c r="AB318" s="80"/>
      <c r="AC318" s="81"/>
      <c r="AD318" s="81"/>
      <c r="AE318" s="81"/>
      <c r="AF318" s="80"/>
      <c r="AG318" s="81"/>
    </row>
    <row r="319" spans="1:33">
      <c r="A319" s="113" t="s">
        <v>384</v>
      </c>
      <c r="B319" s="120" t="s">
        <v>433</v>
      </c>
      <c r="C319" s="115"/>
      <c r="D319" s="117">
        <v>199023</v>
      </c>
      <c r="E319" s="117">
        <v>10</v>
      </c>
      <c r="F319" s="78">
        <f t="shared" si="21"/>
        <v>11721</v>
      </c>
      <c r="G319" s="79">
        <f t="shared" si="22"/>
        <v>12248</v>
      </c>
      <c r="H319" s="80">
        <v>3051</v>
      </c>
      <c r="I319" s="81">
        <v>3216</v>
      </c>
      <c r="J319" s="80">
        <v>656</v>
      </c>
      <c r="K319" s="81">
        <v>464</v>
      </c>
      <c r="L319" s="80">
        <v>8002</v>
      </c>
      <c r="M319" s="80">
        <v>12</v>
      </c>
      <c r="N319" s="80">
        <v>0</v>
      </c>
      <c r="O319" s="81">
        <v>8568</v>
      </c>
      <c r="P319" s="81">
        <v>0</v>
      </c>
      <c r="Q319" s="81">
        <v>0</v>
      </c>
      <c r="R319" s="80"/>
      <c r="S319" s="81"/>
      <c r="T319" s="78">
        <f t="shared" si="23"/>
        <v>0</v>
      </c>
      <c r="U319" s="79">
        <f t="shared" si="20"/>
        <v>0</v>
      </c>
      <c r="V319" s="80"/>
      <c r="W319" s="81"/>
      <c r="X319" s="80"/>
      <c r="Y319" s="81"/>
      <c r="Z319" s="80"/>
      <c r="AA319" s="80"/>
      <c r="AB319" s="80"/>
      <c r="AC319" s="81"/>
      <c r="AD319" s="81"/>
      <c r="AE319" s="81"/>
      <c r="AF319" s="80"/>
      <c r="AG319" s="81"/>
    </row>
    <row r="320" spans="1:33">
      <c r="A320" s="113" t="s">
        <v>384</v>
      </c>
      <c r="B320" s="120" t="s">
        <v>434</v>
      </c>
      <c r="C320" s="115"/>
      <c r="D320" s="117">
        <v>199087</v>
      </c>
      <c r="E320" s="117">
        <v>9</v>
      </c>
      <c r="F320" s="78">
        <f t="shared" si="21"/>
        <v>48224</v>
      </c>
      <c r="G320" s="79">
        <f t="shared" si="22"/>
        <v>44414</v>
      </c>
      <c r="H320" s="80">
        <v>15573</v>
      </c>
      <c r="I320" s="81">
        <v>12701</v>
      </c>
      <c r="J320" s="80">
        <v>1402</v>
      </c>
      <c r="K320" s="81">
        <v>780</v>
      </c>
      <c r="L320" s="80">
        <v>31099</v>
      </c>
      <c r="M320" s="80">
        <v>150</v>
      </c>
      <c r="N320" s="80">
        <v>0</v>
      </c>
      <c r="O320" s="81">
        <v>30933</v>
      </c>
      <c r="P320" s="81">
        <v>0</v>
      </c>
      <c r="Q320" s="81">
        <v>0</v>
      </c>
      <c r="R320" s="80"/>
      <c r="S320" s="81"/>
      <c r="T320" s="78">
        <f t="shared" si="23"/>
        <v>0</v>
      </c>
      <c r="U320" s="79">
        <f t="shared" si="20"/>
        <v>0</v>
      </c>
      <c r="V320" s="80"/>
      <c r="W320" s="81"/>
      <c r="X320" s="80"/>
      <c r="Y320" s="81"/>
      <c r="Z320" s="80"/>
      <c r="AA320" s="80"/>
      <c r="AB320" s="80"/>
      <c r="AC320" s="81"/>
      <c r="AD320" s="81"/>
      <c r="AE320" s="81"/>
      <c r="AF320" s="80"/>
      <c r="AG320" s="81"/>
    </row>
    <row r="321" spans="1:33">
      <c r="A321" s="113" t="s">
        <v>384</v>
      </c>
      <c r="B321" s="120" t="s">
        <v>435</v>
      </c>
      <c r="C321" s="115"/>
      <c r="D321" s="117">
        <v>199263</v>
      </c>
      <c r="E321" s="117">
        <v>10</v>
      </c>
      <c r="F321" s="78">
        <f t="shared" si="21"/>
        <v>8236</v>
      </c>
      <c r="G321" s="79">
        <f t="shared" si="22"/>
        <v>7684</v>
      </c>
      <c r="H321" s="80">
        <v>440</v>
      </c>
      <c r="I321" s="81">
        <v>517</v>
      </c>
      <c r="J321" s="80">
        <v>2270</v>
      </c>
      <c r="K321" s="81">
        <v>1845</v>
      </c>
      <c r="L321" s="80">
        <v>5526</v>
      </c>
      <c r="M321" s="80">
        <v>0</v>
      </c>
      <c r="N321" s="80">
        <v>0</v>
      </c>
      <c r="O321" s="81">
        <v>5322</v>
      </c>
      <c r="P321" s="81">
        <v>0</v>
      </c>
      <c r="Q321" s="81">
        <v>0</v>
      </c>
      <c r="R321" s="80"/>
      <c r="S321" s="81"/>
      <c r="T321" s="78">
        <f t="shared" si="23"/>
        <v>0</v>
      </c>
      <c r="U321" s="79">
        <f t="shared" si="20"/>
        <v>0</v>
      </c>
      <c r="V321" s="80"/>
      <c r="W321" s="81"/>
      <c r="X321" s="80"/>
      <c r="Y321" s="81"/>
      <c r="Z321" s="80"/>
      <c r="AA321" s="80"/>
      <c r="AB321" s="80"/>
      <c r="AC321" s="81"/>
      <c r="AD321" s="81"/>
      <c r="AE321" s="81"/>
      <c r="AF321" s="80"/>
      <c r="AG321" s="81"/>
    </row>
    <row r="322" spans="1:33">
      <c r="A322" s="113" t="s">
        <v>384</v>
      </c>
      <c r="B322" s="120" t="s">
        <v>436</v>
      </c>
      <c r="C322" s="115"/>
      <c r="D322" s="117">
        <v>199324</v>
      </c>
      <c r="E322" s="117">
        <v>10</v>
      </c>
      <c r="F322" s="78">
        <f t="shared" si="21"/>
        <v>17583.5</v>
      </c>
      <c r="G322" s="79">
        <f t="shared" si="22"/>
        <v>15841.5</v>
      </c>
      <c r="H322" s="80">
        <v>6178.5</v>
      </c>
      <c r="I322" s="81">
        <v>5241.5</v>
      </c>
      <c r="J322" s="80">
        <v>576</v>
      </c>
      <c r="K322" s="81">
        <v>471</v>
      </c>
      <c r="L322" s="80">
        <v>9186</v>
      </c>
      <c r="M322" s="80">
        <v>1625</v>
      </c>
      <c r="N322" s="80">
        <v>18</v>
      </c>
      <c r="O322" s="81">
        <v>9732</v>
      </c>
      <c r="P322" s="81">
        <v>397</v>
      </c>
      <c r="Q322" s="81">
        <v>0</v>
      </c>
      <c r="R322" s="80"/>
      <c r="S322" s="81"/>
      <c r="T322" s="78">
        <f t="shared" si="23"/>
        <v>0</v>
      </c>
      <c r="U322" s="79">
        <f t="shared" si="20"/>
        <v>0</v>
      </c>
      <c r="V322" s="80"/>
      <c r="W322" s="81"/>
      <c r="X322" s="80"/>
      <c r="Y322" s="81"/>
      <c r="Z322" s="80"/>
      <c r="AA322" s="80"/>
      <c r="AB322" s="80"/>
      <c r="AC322" s="81"/>
      <c r="AD322" s="81"/>
      <c r="AE322" s="81"/>
      <c r="AF322" s="80"/>
      <c r="AG322" s="81"/>
    </row>
    <row r="323" spans="1:33">
      <c r="A323" s="113" t="s">
        <v>384</v>
      </c>
      <c r="B323" s="120" t="s">
        <v>437</v>
      </c>
      <c r="C323" s="115"/>
      <c r="D323" s="117">
        <v>199333</v>
      </c>
      <c r="E323" s="117">
        <v>8</v>
      </c>
      <c r="F323" s="78">
        <f t="shared" si="21"/>
        <v>142559</v>
      </c>
      <c r="G323" s="79">
        <f t="shared" si="22"/>
        <v>133350</v>
      </c>
      <c r="H323" s="80">
        <v>41649</v>
      </c>
      <c r="I323" s="81">
        <v>37525</v>
      </c>
      <c r="J323" s="80">
        <v>4781</v>
      </c>
      <c r="K323" s="81">
        <v>4614</v>
      </c>
      <c r="L323" s="80">
        <v>96129</v>
      </c>
      <c r="M323" s="80">
        <v>0</v>
      </c>
      <c r="N323" s="80">
        <v>0</v>
      </c>
      <c r="O323" s="81">
        <v>91211</v>
      </c>
      <c r="P323" s="81">
        <v>0</v>
      </c>
      <c r="Q323" s="81">
        <v>0</v>
      </c>
      <c r="R323" s="80"/>
      <c r="S323" s="81"/>
      <c r="T323" s="78">
        <f t="shared" si="23"/>
        <v>0</v>
      </c>
      <c r="U323" s="79">
        <f t="shared" si="20"/>
        <v>0</v>
      </c>
      <c r="V323" s="80"/>
      <c r="W323" s="81"/>
      <c r="X323" s="80"/>
      <c r="Y323" s="81"/>
      <c r="Z323" s="80"/>
      <c r="AA323" s="80"/>
      <c r="AB323" s="80"/>
      <c r="AC323" s="81"/>
      <c r="AD323" s="81"/>
      <c r="AE323" s="81"/>
      <c r="AF323" s="80"/>
      <c r="AG323" s="81"/>
    </row>
    <row r="324" spans="1:33">
      <c r="A324" s="113" t="s">
        <v>384</v>
      </c>
      <c r="B324" s="120" t="s">
        <v>438</v>
      </c>
      <c r="C324" s="115"/>
      <c r="D324" s="117">
        <v>199421</v>
      </c>
      <c r="E324" s="117">
        <v>9</v>
      </c>
      <c r="F324" s="78">
        <f t="shared" si="21"/>
        <v>41434</v>
      </c>
      <c r="G324" s="79">
        <f t="shared" si="22"/>
        <v>42420</v>
      </c>
      <c r="H324" s="80">
        <v>14130</v>
      </c>
      <c r="I324" s="81">
        <v>14221</v>
      </c>
      <c r="J324" s="80">
        <v>618</v>
      </c>
      <c r="K324" s="81">
        <v>721</v>
      </c>
      <c r="L324" s="80">
        <v>26148</v>
      </c>
      <c r="M324" s="80">
        <v>87</v>
      </c>
      <c r="N324" s="80">
        <v>451</v>
      </c>
      <c r="O324" s="81">
        <v>27373</v>
      </c>
      <c r="P324" s="81">
        <v>105</v>
      </c>
      <c r="Q324" s="81">
        <v>0</v>
      </c>
      <c r="R324" s="80"/>
      <c r="S324" s="81"/>
      <c r="T324" s="78">
        <f t="shared" si="23"/>
        <v>0</v>
      </c>
      <c r="U324" s="79">
        <f t="shared" si="20"/>
        <v>0</v>
      </c>
      <c r="V324" s="80"/>
      <c r="W324" s="81"/>
      <c r="X324" s="80"/>
      <c r="Y324" s="81"/>
      <c r="Z324" s="80"/>
      <c r="AA324" s="80"/>
      <c r="AB324" s="80"/>
      <c r="AC324" s="81"/>
      <c r="AD324" s="81"/>
      <c r="AE324" s="81"/>
      <c r="AF324" s="80"/>
      <c r="AG324" s="81"/>
    </row>
    <row r="325" spans="1:33">
      <c r="A325" s="113" t="s">
        <v>384</v>
      </c>
      <c r="B325" s="120" t="s">
        <v>439</v>
      </c>
      <c r="C325" s="121"/>
      <c r="D325" s="117">
        <v>199449</v>
      </c>
      <c r="E325" s="172">
        <v>9</v>
      </c>
      <c r="F325" s="78">
        <f t="shared" si="21"/>
        <v>39842</v>
      </c>
      <c r="G325" s="79">
        <f t="shared" si="22"/>
        <v>40588</v>
      </c>
      <c r="H325" s="80">
        <v>10462</v>
      </c>
      <c r="I325" s="81">
        <v>10758</v>
      </c>
      <c r="J325" s="80">
        <v>860</v>
      </c>
      <c r="K325" s="81">
        <v>1099</v>
      </c>
      <c r="L325" s="80">
        <v>28520</v>
      </c>
      <c r="M325" s="80">
        <v>0</v>
      </c>
      <c r="N325" s="80">
        <v>0</v>
      </c>
      <c r="O325" s="81">
        <v>28731</v>
      </c>
      <c r="P325" s="81">
        <v>0</v>
      </c>
      <c r="Q325" s="81">
        <v>0</v>
      </c>
      <c r="R325" s="80"/>
      <c r="S325" s="81"/>
      <c r="T325" s="78">
        <f t="shared" si="23"/>
        <v>0</v>
      </c>
      <c r="U325" s="79">
        <f t="shared" si="20"/>
        <v>0</v>
      </c>
      <c r="V325" s="80"/>
      <c r="W325" s="81"/>
      <c r="X325" s="80"/>
      <c r="Y325" s="81"/>
      <c r="Z325" s="80"/>
      <c r="AA325" s="80"/>
      <c r="AB325" s="80"/>
      <c r="AC325" s="81"/>
      <c r="AD325" s="81"/>
      <c r="AE325" s="81"/>
      <c r="AF325" s="80"/>
      <c r="AG325" s="81"/>
    </row>
    <row r="326" spans="1:33">
      <c r="A326" s="113" t="s">
        <v>384</v>
      </c>
      <c r="B326" s="120" t="s">
        <v>440</v>
      </c>
      <c r="C326" s="115"/>
      <c r="D326" s="117">
        <v>199467</v>
      </c>
      <c r="E326" s="117">
        <v>10</v>
      </c>
      <c r="F326" s="78">
        <f t="shared" si="21"/>
        <v>11429</v>
      </c>
      <c r="G326" s="79">
        <f t="shared" si="22"/>
        <v>11303</v>
      </c>
      <c r="H326" s="80">
        <v>3859</v>
      </c>
      <c r="I326" s="81">
        <v>2703</v>
      </c>
      <c r="J326" s="80">
        <v>218</v>
      </c>
      <c r="K326" s="81">
        <v>139</v>
      </c>
      <c r="L326" s="80">
        <v>7270</v>
      </c>
      <c r="M326" s="80">
        <v>82</v>
      </c>
      <c r="N326" s="80">
        <v>0</v>
      </c>
      <c r="O326" s="81">
        <v>8345</v>
      </c>
      <c r="P326" s="81">
        <v>116</v>
      </c>
      <c r="Q326" s="81">
        <v>0</v>
      </c>
      <c r="R326" s="80"/>
      <c r="S326" s="81"/>
      <c r="T326" s="78">
        <f t="shared" si="23"/>
        <v>0</v>
      </c>
      <c r="U326" s="79">
        <f t="shared" si="20"/>
        <v>0</v>
      </c>
      <c r="V326" s="80"/>
      <c r="W326" s="81"/>
      <c r="X326" s="80"/>
      <c r="Y326" s="81"/>
      <c r="Z326" s="80"/>
      <c r="AA326" s="80"/>
      <c r="AB326" s="80"/>
      <c r="AC326" s="81"/>
      <c r="AD326" s="81"/>
      <c r="AE326" s="81"/>
      <c r="AF326" s="80"/>
      <c r="AG326" s="81"/>
    </row>
    <row r="327" spans="1:33">
      <c r="A327" s="113" t="s">
        <v>384</v>
      </c>
      <c r="B327" s="120" t="s">
        <v>441</v>
      </c>
      <c r="C327" s="173" t="s">
        <v>357</v>
      </c>
      <c r="D327" s="117">
        <v>199476</v>
      </c>
      <c r="E327" s="117">
        <v>9</v>
      </c>
      <c r="F327" s="78">
        <f t="shared" si="21"/>
        <v>27141</v>
      </c>
      <c r="G327" s="79">
        <f t="shared" si="22"/>
        <v>27281</v>
      </c>
      <c r="H327" s="80">
        <v>12800</v>
      </c>
      <c r="I327" s="81">
        <v>10786</v>
      </c>
      <c r="J327" s="80">
        <v>321</v>
      </c>
      <c r="K327" s="81">
        <v>326</v>
      </c>
      <c r="L327" s="80">
        <v>14020</v>
      </c>
      <c r="M327" s="80">
        <v>0</v>
      </c>
      <c r="N327" s="80">
        <v>0</v>
      </c>
      <c r="O327" s="81">
        <v>16169</v>
      </c>
      <c r="P327" s="81">
        <v>0</v>
      </c>
      <c r="Q327" s="81">
        <v>0</v>
      </c>
      <c r="R327" s="80"/>
      <c r="S327" s="81"/>
      <c r="T327" s="78">
        <f t="shared" si="23"/>
        <v>0</v>
      </c>
      <c r="U327" s="79">
        <f t="shared" si="20"/>
        <v>0</v>
      </c>
      <c r="V327" s="80"/>
      <c r="W327" s="81"/>
      <c r="X327" s="80"/>
      <c r="Y327" s="81"/>
      <c r="Z327" s="80"/>
      <c r="AA327" s="80"/>
      <c r="AB327" s="80"/>
      <c r="AC327" s="81"/>
      <c r="AD327" s="81"/>
      <c r="AE327" s="81"/>
      <c r="AF327" s="80"/>
      <c r="AG327" s="81"/>
    </row>
    <row r="328" spans="1:33">
      <c r="A328" s="113" t="s">
        <v>384</v>
      </c>
      <c r="B328" s="120" t="s">
        <v>442</v>
      </c>
      <c r="C328" s="173"/>
      <c r="D328" s="117">
        <v>199485</v>
      </c>
      <c r="E328" s="117">
        <v>10</v>
      </c>
      <c r="F328" s="78">
        <f t="shared" si="21"/>
        <v>22884</v>
      </c>
      <c r="G328" s="79">
        <f t="shared" si="22"/>
        <v>25079</v>
      </c>
      <c r="H328" s="80">
        <v>11270</v>
      </c>
      <c r="I328" s="81">
        <v>15879</v>
      </c>
      <c r="J328" s="80">
        <v>77</v>
      </c>
      <c r="K328" s="81">
        <v>33</v>
      </c>
      <c r="L328" s="80">
        <v>11483</v>
      </c>
      <c r="M328" s="80">
        <v>54</v>
      </c>
      <c r="N328" s="80">
        <v>0</v>
      </c>
      <c r="O328" s="81">
        <v>8993</v>
      </c>
      <c r="P328" s="81">
        <v>154</v>
      </c>
      <c r="Q328" s="81">
        <v>20</v>
      </c>
      <c r="R328" s="80"/>
      <c r="S328" s="81"/>
      <c r="T328" s="78">
        <f t="shared" si="23"/>
        <v>0</v>
      </c>
      <c r="U328" s="79">
        <f t="shared" si="20"/>
        <v>0</v>
      </c>
      <c r="V328" s="80"/>
      <c r="W328" s="81"/>
      <c r="X328" s="80"/>
      <c r="Y328" s="81"/>
      <c r="Z328" s="80"/>
      <c r="AA328" s="80"/>
      <c r="AB328" s="80"/>
      <c r="AC328" s="81"/>
      <c r="AD328" s="81"/>
      <c r="AE328" s="81"/>
      <c r="AF328" s="80"/>
      <c r="AG328" s="81"/>
    </row>
    <row r="329" spans="1:33">
      <c r="A329" s="113" t="s">
        <v>384</v>
      </c>
      <c r="B329" s="120" t="s">
        <v>443</v>
      </c>
      <c r="C329" s="173" t="s">
        <v>458</v>
      </c>
      <c r="D329" s="117">
        <v>199494</v>
      </c>
      <c r="E329" s="126">
        <v>8</v>
      </c>
      <c r="F329" s="78">
        <f t="shared" si="21"/>
        <v>82476</v>
      </c>
      <c r="G329" s="79">
        <f t="shared" si="22"/>
        <v>84324</v>
      </c>
      <c r="H329" s="80">
        <v>28714</v>
      </c>
      <c r="I329" s="81">
        <v>27068</v>
      </c>
      <c r="J329" s="80">
        <v>3390</v>
      </c>
      <c r="K329" s="81">
        <v>3063</v>
      </c>
      <c r="L329" s="80">
        <v>50372</v>
      </c>
      <c r="M329" s="80">
        <v>0</v>
      </c>
      <c r="N329" s="80">
        <v>0</v>
      </c>
      <c r="O329" s="81">
        <v>54193</v>
      </c>
      <c r="P329" s="81">
        <v>0</v>
      </c>
      <c r="Q329" s="81">
        <v>0</v>
      </c>
      <c r="R329" s="80"/>
      <c r="S329" s="81"/>
      <c r="T329" s="78">
        <f t="shared" si="23"/>
        <v>0</v>
      </c>
      <c r="U329" s="79">
        <f t="shared" si="20"/>
        <v>0</v>
      </c>
      <c r="V329" s="80"/>
      <c r="W329" s="81"/>
      <c r="X329" s="80"/>
      <c r="Y329" s="81"/>
      <c r="Z329" s="80"/>
      <c r="AA329" s="80"/>
      <c r="AB329" s="80"/>
      <c r="AC329" s="81"/>
      <c r="AD329" s="81"/>
      <c r="AE329" s="81"/>
      <c r="AF329" s="80"/>
      <c r="AG329" s="81"/>
    </row>
    <row r="330" spans="1:33">
      <c r="A330" s="113" t="s">
        <v>384</v>
      </c>
      <c r="B330" s="120" t="s">
        <v>444</v>
      </c>
      <c r="C330" s="173"/>
      <c r="D330" s="117">
        <v>199625</v>
      </c>
      <c r="E330" s="117">
        <v>10</v>
      </c>
      <c r="F330" s="78">
        <f t="shared" si="21"/>
        <v>21107</v>
      </c>
      <c r="G330" s="79">
        <f t="shared" si="22"/>
        <v>22633</v>
      </c>
      <c r="H330" s="80">
        <v>7802</v>
      </c>
      <c r="I330" s="81">
        <v>7161</v>
      </c>
      <c r="J330" s="80">
        <v>0</v>
      </c>
      <c r="K330" s="81">
        <v>177</v>
      </c>
      <c r="L330" s="80">
        <v>13248</v>
      </c>
      <c r="M330" s="80">
        <v>57</v>
      </c>
      <c r="N330" s="80">
        <v>0</v>
      </c>
      <c r="O330" s="81">
        <v>15295</v>
      </c>
      <c r="P330" s="81">
        <v>0</v>
      </c>
      <c r="Q330" s="81">
        <v>0</v>
      </c>
      <c r="R330" s="80"/>
      <c r="S330" s="81"/>
      <c r="T330" s="78">
        <f t="shared" si="23"/>
        <v>0</v>
      </c>
      <c r="U330" s="79">
        <f t="shared" si="20"/>
        <v>0</v>
      </c>
      <c r="V330" s="80"/>
      <c r="W330" s="81"/>
      <c r="X330" s="80"/>
      <c r="Y330" s="81"/>
      <c r="Z330" s="80"/>
      <c r="AA330" s="80"/>
      <c r="AB330" s="80"/>
      <c r="AC330" s="81"/>
      <c r="AD330" s="81"/>
      <c r="AE330" s="81"/>
      <c r="AF330" s="80"/>
      <c r="AG330" s="81"/>
    </row>
    <row r="331" spans="1:33">
      <c r="A331" s="113" t="s">
        <v>384</v>
      </c>
      <c r="B331" s="120" t="s">
        <v>445</v>
      </c>
      <c r="C331" s="173"/>
      <c r="D331" s="117">
        <v>199634</v>
      </c>
      <c r="E331" s="117">
        <v>9</v>
      </c>
      <c r="F331" s="78">
        <f t="shared" si="21"/>
        <v>58671</v>
      </c>
      <c r="G331" s="79">
        <f t="shared" si="22"/>
        <v>60626</v>
      </c>
      <c r="H331" s="80">
        <v>18678</v>
      </c>
      <c r="I331" s="81">
        <v>17096</v>
      </c>
      <c r="J331" s="80">
        <v>1552</v>
      </c>
      <c r="K331" s="81">
        <v>1560</v>
      </c>
      <c r="L331" s="80">
        <v>38441</v>
      </c>
      <c r="M331" s="80">
        <v>0</v>
      </c>
      <c r="N331" s="80">
        <v>0</v>
      </c>
      <c r="O331" s="81">
        <v>41970</v>
      </c>
      <c r="P331" s="81">
        <v>0</v>
      </c>
      <c r="Q331" s="81">
        <v>0</v>
      </c>
      <c r="R331" s="80"/>
      <c r="S331" s="81"/>
      <c r="T331" s="78">
        <f t="shared" si="23"/>
        <v>0</v>
      </c>
      <c r="U331" s="79">
        <f t="shared" si="20"/>
        <v>0</v>
      </c>
      <c r="V331" s="80"/>
      <c r="W331" s="81"/>
      <c r="X331" s="80"/>
      <c r="Y331" s="81"/>
      <c r="Z331" s="80"/>
      <c r="AA331" s="80"/>
      <c r="AB331" s="80"/>
      <c r="AC331" s="81"/>
      <c r="AD331" s="81"/>
      <c r="AE331" s="81"/>
      <c r="AF331" s="80"/>
      <c r="AG331" s="81"/>
    </row>
    <row r="332" spans="1:33">
      <c r="A332" s="113" t="s">
        <v>384</v>
      </c>
      <c r="B332" s="120" t="s">
        <v>446</v>
      </c>
      <c r="C332" s="173" t="s">
        <v>458</v>
      </c>
      <c r="D332" s="117">
        <v>197850</v>
      </c>
      <c r="E332" s="117">
        <v>10</v>
      </c>
      <c r="F332" s="78">
        <f t="shared" si="21"/>
        <v>36289</v>
      </c>
      <c r="G332" s="79">
        <f t="shared" si="22"/>
        <v>39018</v>
      </c>
      <c r="H332" s="80">
        <v>7116</v>
      </c>
      <c r="I332" s="81">
        <v>6875</v>
      </c>
      <c r="J332" s="80">
        <v>681</v>
      </c>
      <c r="K332" s="81">
        <v>669</v>
      </c>
      <c r="L332" s="80">
        <v>28057</v>
      </c>
      <c r="M332" s="80">
        <v>435</v>
      </c>
      <c r="N332" s="80">
        <v>0</v>
      </c>
      <c r="O332" s="81">
        <v>31474</v>
      </c>
      <c r="P332" s="81">
        <v>0</v>
      </c>
      <c r="Q332" s="81">
        <v>0</v>
      </c>
      <c r="R332" s="80"/>
      <c r="S332" s="81"/>
      <c r="T332" s="78">
        <f t="shared" si="23"/>
        <v>0</v>
      </c>
      <c r="U332" s="79">
        <f t="shared" si="20"/>
        <v>0</v>
      </c>
      <c r="V332" s="80"/>
      <c r="W332" s="81"/>
      <c r="X332" s="80"/>
      <c r="Y332" s="81"/>
      <c r="Z332" s="80"/>
      <c r="AA332" s="80"/>
      <c r="AB332" s="80"/>
      <c r="AC332" s="81"/>
      <c r="AD332" s="81"/>
      <c r="AE332" s="81"/>
      <c r="AF332" s="80"/>
      <c r="AG332" s="81"/>
    </row>
    <row r="333" spans="1:33">
      <c r="A333" s="113" t="s">
        <v>384</v>
      </c>
      <c r="B333" s="120" t="s">
        <v>447</v>
      </c>
      <c r="C333" s="173"/>
      <c r="D333" s="117">
        <v>199722</v>
      </c>
      <c r="E333" s="117">
        <v>10</v>
      </c>
      <c r="F333" s="78">
        <f t="shared" si="21"/>
        <v>22329</v>
      </c>
      <c r="G333" s="79">
        <f t="shared" si="22"/>
        <v>22767</v>
      </c>
      <c r="H333" s="80">
        <v>7174</v>
      </c>
      <c r="I333" s="81">
        <v>7116</v>
      </c>
      <c r="J333" s="80">
        <v>274</v>
      </c>
      <c r="K333" s="81">
        <v>149</v>
      </c>
      <c r="L333" s="80">
        <v>14332</v>
      </c>
      <c r="M333" s="80">
        <v>549</v>
      </c>
      <c r="N333" s="80">
        <v>0</v>
      </c>
      <c r="O333" s="81">
        <v>15272</v>
      </c>
      <c r="P333" s="81">
        <v>230</v>
      </c>
      <c r="Q333" s="81">
        <v>0</v>
      </c>
      <c r="R333" s="80"/>
      <c r="S333" s="81"/>
      <c r="T333" s="78">
        <f t="shared" si="23"/>
        <v>0</v>
      </c>
      <c r="U333" s="79">
        <f t="shared" si="20"/>
        <v>0</v>
      </c>
      <c r="V333" s="80"/>
      <c r="W333" s="81"/>
      <c r="X333" s="80"/>
      <c r="Y333" s="81"/>
      <c r="Z333" s="80"/>
      <c r="AA333" s="80"/>
      <c r="AB333" s="80"/>
      <c r="AC333" s="81"/>
      <c r="AD333" s="81"/>
      <c r="AE333" s="81"/>
      <c r="AF333" s="80"/>
      <c r="AG333" s="81"/>
    </row>
    <row r="334" spans="1:33">
      <c r="A334" s="113" t="s">
        <v>384</v>
      </c>
      <c r="B334" s="120" t="s">
        <v>448</v>
      </c>
      <c r="C334" s="173" t="s">
        <v>458</v>
      </c>
      <c r="D334" s="117">
        <v>199731</v>
      </c>
      <c r="E334" s="117">
        <v>10</v>
      </c>
      <c r="F334" s="78">
        <f t="shared" si="21"/>
        <v>34754</v>
      </c>
      <c r="G334" s="79">
        <f t="shared" si="22"/>
        <v>34028</v>
      </c>
      <c r="H334" s="80">
        <v>13130</v>
      </c>
      <c r="I334" s="81">
        <v>12121</v>
      </c>
      <c r="J334" s="80">
        <v>2113</v>
      </c>
      <c r="K334" s="81">
        <v>2798</v>
      </c>
      <c r="L334" s="80">
        <v>19396</v>
      </c>
      <c r="M334" s="80">
        <v>115</v>
      </c>
      <c r="N334" s="80">
        <v>0</v>
      </c>
      <c r="O334" s="81">
        <v>19005</v>
      </c>
      <c r="P334" s="81">
        <v>104</v>
      </c>
      <c r="Q334" s="81">
        <v>0</v>
      </c>
      <c r="R334" s="80"/>
      <c r="S334" s="81"/>
      <c r="T334" s="78">
        <f t="shared" si="23"/>
        <v>0</v>
      </c>
      <c r="U334" s="79">
        <f t="shared" ref="U334:U370" si="24">SUM(W334,Y334,AC334,AD334,AE334,AG334)</f>
        <v>0</v>
      </c>
      <c r="V334" s="80"/>
      <c r="W334" s="81"/>
      <c r="X334" s="80"/>
      <c r="Y334" s="81"/>
      <c r="Z334" s="80"/>
      <c r="AA334" s="80"/>
      <c r="AB334" s="80"/>
      <c r="AC334" s="81"/>
      <c r="AD334" s="81"/>
      <c r="AE334" s="81"/>
      <c r="AF334" s="80"/>
      <c r="AG334" s="81"/>
    </row>
    <row r="335" spans="1:33">
      <c r="A335" s="113" t="s">
        <v>384</v>
      </c>
      <c r="B335" s="120" t="s">
        <v>449</v>
      </c>
      <c r="C335" s="173"/>
      <c r="D335" s="117">
        <v>199740</v>
      </c>
      <c r="E335" s="117">
        <v>9</v>
      </c>
      <c r="F335" s="78">
        <f t="shared" si="21"/>
        <v>43560</v>
      </c>
      <c r="G335" s="79">
        <f t="shared" si="22"/>
        <v>42443</v>
      </c>
      <c r="H335" s="80">
        <v>6879</v>
      </c>
      <c r="I335" s="81">
        <v>6565</v>
      </c>
      <c r="J335" s="80">
        <v>2305</v>
      </c>
      <c r="K335" s="81">
        <v>2009</v>
      </c>
      <c r="L335" s="80">
        <v>34376</v>
      </c>
      <c r="M335" s="80">
        <v>0</v>
      </c>
      <c r="N335" s="80">
        <v>0</v>
      </c>
      <c r="O335" s="81">
        <v>33869</v>
      </c>
      <c r="P335" s="81">
        <v>0</v>
      </c>
      <c r="Q335" s="81">
        <v>0</v>
      </c>
      <c r="R335" s="80"/>
      <c r="S335" s="81"/>
      <c r="T335" s="78">
        <f t="shared" si="23"/>
        <v>0</v>
      </c>
      <c r="U335" s="79">
        <f t="shared" si="24"/>
        <v>0</v>
      </c>
      <c r="V335" s="80"/>
      <c r="W335" s="81"/>
      <c r="X335" s="80"/>
      <c r="Y335" s="81"/>
      <c r="Z335" s="80"/>
      <c r="AA335" s="80"/>
      <c r="AB335" s="80"/>
      <c r="AC335" s="81"/>
      <c r="AD335" s="81"/>
      <c r="AE335" s="81"/>
      <c r="AF335" s="80"/>
      <c r="AG335" s="81"/>
    </row>
    <row r="336" spans="1:33">
      <c r="A336" s="113" t="s">
        <v>384</v>
      </c>
      <c r="B336" s="120" t="s">
        <v>450</v>
      </c>
      <c r="C336" s="173"/>
      <c r="D336" s="117">
        <v>199768</v>
      </c>
      <c r="E336" s="117">
        <v>9</v>
      </c>
      <c r="F336" s="78">
        <f t="shared" si="21"/>
        <v>34400</v>
      </c>
      <c r="G336" s="79">
        <f t="shared" si="22"/>
        <v>31902</v>
      </c>
      <c r="H336" s="80">
        <v>15394</v>
      </c>
      <c r="I336" s="81">
        <v>12096</v>
      </c>
      <c r="J336" s="80">
        <v>73</v>
      </c>
      <c r="K336" s="81">
        <v>230</v>
      </c>
      <c r="L336" s="80">
        <v>18376</v>
      </c>
      <c r="M336" s="80">
        <v>557</v>
      </c>
      <c r="N336" s="80">
        <v>0</v>
      </c>
      <c r="O336" s="81">
        <v>19213</v>
      </c>
      <c r="P336" s="81">
        <v>363</v>
      </c>
      <c r="Q336" s="81">
        <v>0</v>
      </c>
      <c r="R336" s="80"/>
      <c r="S336" s="81"/>
      <c r="T336" s="78">
        <f t="shared" si="23"/>
        <v>0</v>
      </c>
      <c r="U336" s="79">
        <f t="shared" si="24"/>
        <v>0</v>
      </c>
      <c r="V336" s="80"/>
      <c r="W336" s="81"/>
      <c r="X336" s="80"/>
      <c r="Y336" s="81"/>
      <c r="Z336" s="80"/>
      <c r="AA336" s="80"/>
      <c r="AB336" s="80"/>
      <c r="AC336" s="81"/>
      <c r="AD336" s="81"/>
      <c r="AE336" s="81"/>
      <c r="AF336" s="80"/>
      <c r="AG336" s="81"/>
    </row>
    <row r="337" spans="1:33">
      <c r="A337" s="113" t="s">
        <v>384</v>
      </c>
      <c r="B337" s="120" t="s">
        <v>451</v>
      </c>
      <c r="C337" s="173"/>
      <c r="D337" s="117">
        <v>199795</v>
      </c>
      <c r="E337" s="117">
        <v>10</v>
      </c>
      <c r="F337" s="78">
        <f t="shared" si="21"/>
        <v>19729</v>
      </c>
      <c r="G337" s="79">
        <f t="shared" si="22"/>
        <v>17993</v>
      </c>
      <c r="H337" s="80">
        <v>3455</v>
      </c>
      <c r="I337" s="81">
        <v>3124</v>
      </c>
      <c r="J337" s="80">
        <v>582</v>
      </c>
      <c r="K337" s="81">
        <v>575</v>
      </c>
      <c r="L337" s="80">
        <v>15573</v>
      </c>
      <c r="M337" s="80">
        <v>119</v>
      </c>
      <c r="N337" s="80">
        <v>0</v>
      </c>
      <c r="O337" s="81">
        <v>14245</v>
      </c>
      <c r="P337" s="81">
        <v>49</v>
      </c>
      <c r="Q337" s="81">
        <v>0</v>
      </c>
      <c r="R337" s="80"/>
      <c r="S337" s="81"/>
      <c r="T337" s="78">
        <f t="shared" si="23"/>
        <v>0</v>
      </c>
      <c r="U337" s="79">
        <f t="shared" si="24"/>
        <v>0</v>
      </c>
      <c r="V337" s="80"/>
      <c r="W337" s="81"/>
      <c r="X337" s="80"/>
      <c r="Y337" s="81"/>
      <c r="Z337" s="80"/>
      <c r="AA337" s="80"/>
      <c r="AB337" s="80"/>
      <c r="AC337" s="81"/>
      <c r="AD337" s="81"/>
      <c r="AE337" s="81"/>
      <c r="AF337" s="80"/>
      <c r="AG337" s="81"/>
    </row>
    <row r="338" spans="1:33">
      <c r="A338" s="113" t="s">
        <v>384</v>
      </c>
      <c r="B338" s="120" t="s">
        <v>452</v>
      </c>
      <c r="C338" s="173"/>
      <c r="D338" s="117">
        <v>199838</v>
      </c>
      <c r="E338" s="117">
        <v>9</v>
      </c>
      <c r="F338" s="78">
        <f t="shared" si="21"/>
        <v>43856.5</v>
      </c>
      <c r="G338" s="79">
        <f t="shared" si="22"/>
        <v>44050</v>
      </c>
      <c r="H338" s="80">
        <v>14386</v>
      </c>
      <c r="I338" s="81">
        <v>12950</v>
      </c>
      <c r="J338" s="80">
        <v>762</v>
      </c>
      <c r="K338" s="81">
        <v>899</v>
      </c>
      <c r="L338" s="80">
        <v>27726.5</v>
      </c>
      <c r="M338" s="80">
        <v>982</v>
      </c>
      <c r="N338" s="80">
        <v>0</v>
      </c>
      <c r="O338" s="81">
        <v>29411</v>
      </c>
      <c r="P338" s="81">
        <v>790</v>
      </c>
      <c r="Q338" s="81">
        <v>0</v>
      </c>
      <c r="R338" s="80"/>
      <c r="S338" s="81"/>
      <c r="T338" s="78">
        <f t="shared" si="23"/>
        <v>0</v>
      </c>
      <c r="U338" s="79">
        <f t="shared" si="24"/>
        <v>0</v>
      </c>
      <c r="V338" s="80"/>
      <c r="W338" s="81"/>
      <c r="X338" s="80"/>
      <c r="Y338" s="81"/>
      <c r="Z338" s="80"/>
      <c r="AA338" s="80"/>
      <c r="AB338" s="80"/>
      <c r="AC338" s="81"/>
      <c r="AD338" s="81"/>
      <c r="AE338" s="81"/>
      <c r="AF338" s="80"/>
      <c r="AG338" s="81"/>
    </row>
    <row r="339" spans="1:33">
      <c r="A339" s="113" t="s">
        <v>384</v>
      </c>
      <c r="B339" s="120" t="s">
        <v>453</v>
      </c>
      <c r="C339" s="173"/>
      <c r="D339" s="117">
        <v>199856</v>
      </c>
      <c r="E339" s="117">
        <v>8</v>
      </c>
      <c r="F339" s="78">
        <f t="shared" si="21"/>
        <v>315913</v>
      </c>
      <c r="G339" s="79">
        <f t="shared" si="22"/>
        <v>324796</v>
      </c>
      <c r="H339" s="80">
        <v>140120</v>
      </c>
      <c r="I339" s="81">
        <v>138285</v>
      </c>
      <c r="J339" s="80">
        <v>3210</v>
      </c>
      <c r="K339" s="81">
        <v>2672</v>
      </c>
      <c r="L339" s="80">
        <v>172583</v>
      </c>
      <c r="M339" s="80">
        <v>0</v>
      </c>
      <c r="N339" s="80">
        <v>0</v>
      </c>
      <c r="O339" s="81">
        <v>183839</v>
      </c>
      <c r="P339" s="81">
        <v>0</v>
      </c>
      <c r="Q339" s="81">
        <v>0</v>
      </c>
      <c r="R339" s="80"/>
      <c r="S339" s="81"/>
      <c r="T339" s="78">
        <f t="shared" si="23"/>
        <v>0</v>
      </c>
      <c r="U339" s="79">
        <f t="shared" si="24"/>
        <v>0</v>
      </c>
      <c r="V339" s="80"/>
      <c r="W339" s="81"/>
      <c r="X339" s="80"/>
      <c r="Y339" s="81"/>
      <c r="Z339" s="80"/>
      <c r="AA339" s="80"/>
      <c r="AB339" s="80"/>
      <c r="AC339" s="81"/>
      <c r="AD339" s="81"/>
      <c r="AE339" s="81"/>
      <c r="AF339" s="80"/>
      <c r="AG339" s="81"/>
    </row>
    <row r="340" spans="1:33">
      <c r="A340" s="113" t="s">
        <v>384</v>
      </c>
      <c r="B340" s="120" t="s">
        <v>454</v>
      </c>
      <c r="C340" s="173"/>
      <c r="D340" s="117">
        <v>199892</v>
      </c>
      <c r="E340" s="117">
        <v>9</v>
      </c>
      <c r="F340" s="78">
        <f t="shared" ref="F340:F370" si="25">SUM(H340,J340,L340,M340,N340,R340)</f>
        <v>55184</v>
      </c>
      <c r="G340" s="79">
        <f t="shared" ref="G340:G370" si="26">SUM(I340,K340,O340,P340,Q340,S340)</f>
        <v>52753</v>
      </c>
      <c r="H340" s="80">
        <v>18150</v>
      </c>
      <c r="I340" s="81">
        <v>15998</v>
      </c>
      <c r="J340" s="80">
        <v>527</v>
      </c>
      <c r="K340" s="81">
        <v>577</v>
      </c>
      <c r="L340" s="80">
        <v>36507</v>
      </c>
      <c r="M340" s="80">
        <v>0</v>
      </c>
      <c r="N340" s="80">
        <v>0</v>
      </c>
      <c r="O340" s="81">
        <v>36178</v>
      </c>
      <c r="P340" s="81">
        <v>0</v>
      </c>
      <c r="Q340" s="81">
        <v>0</v>
      </c>
      <c r="R340" s="80"/>
      <c r="S340" s="81"/>
      <c r="T340" s="78">
        <f t="shared" ref="T340:T370" si="27">SUM(V340,X340,Z340,AA340,AB340,AF340)</f>
        <v>0</v>
      </c>
      <c r="U340" s="79">
        <f t="shared" si="24"/>
        <v>0</v>
      </c>
      <c r="V340" s="80"/>
      <c r="W340" s="81"/>
      <c r="X340" s="80"/>
      <c r="Y340" s="81"/>
      <c r="Z340" s="80"/>
      <c r="AA340" s="80"/>
      <c r="AB340" s="80"/>
      <c r="AC340" s="81"/>
      <c r="AD340" s="81"/>
      <c r="AE340" s="81"/>
      <c r="AF340" s="80"/>
      <c r="AG340" s="81"/>
    </row>
    <row r="341" spans="1:33">
      <c r="A341" s="113" t="s">
        <v>384</v>
      </c>
      <c r="B341" s="120" t="s">
        <v>455</v>
      </c>
      <c r="C341" s="174" t="s">
        <v>104</v>
      </c>
      <c r="D341" s="117">
        <v>199908</v>
      </c>
      <c r="E341" s="175">
        <v>10</v>
      </c>
      <c r="F341" s="78">
        <f t="shared" si="25"/>
        <v>27492</v>
      </c>
      <c r="G341" s="79">
        <f t="shared" si="26"/>
        <v>27152</v>
      </c>
      <c r="H341" s="80">
        <v>8385</v>
      </c>
      <c r="I341" s="81">
        <v>11011</v>
      </c>
      <c r="J341" s="80">
        <v>404</v>
      </c>
      <c r="K341" s="81">
        <v>1293</v>
      </c>
      <c r="L341" s="80">
        <v>18703</v>
      </c>
      <c r="M341" s="80">
        <v>0</v>
      </c>
      <c r="N341" s="80">
        <v>0</v>
      </c>
      <c r="O341" s="81">
        <v>14848</v>
      </c>
      <c r="P341" s="81">
        <v>0</v>
      </c>
      <c r="Q341" s="81">
        <v>0</v>
      </c>
      <c r="R341" s="80"/>
      <c r="S341" s="81"/>
      <c r="T341" s="78">
        <f t="shared" si="27"/>
        <v>0</v>
      </c>
      <c r="U341" s="79">
        <f t="shared" si="24"/>
        <v>0</v>
      </c>
      <c r="V341" s="80"/>
      <c r="W341" s="81"/>
      <c r="X341" s="80"/>
      <c r="Y341" s="81"/>
      <c r="Z341" s="80"/>
      <c r="AA341" s="80"/>
      <c r="AB341" s="80"/>
      <c r="AC341" s="81"/>
      <c r="AD341" s="81"/>
      <c r="AE341" s="81"/>
      <c r="AF341" s="80"/>
      <c r="AG341" s="81"/>
    </row>
    <row r="342" spans="1:33">
      <c r="A342" s="113" t="s">
        <v>384</v>
      </c>
      <c r="B342" s="120" t="s">
        <v>456</v>
      </c>
      <c r="C342" s="115"/>
      <c r="D342" s="117">
        <v>199926</v>
      </c>
      <c r="E342" s="117">
        <v>9</v>
      </c>
      <c r="F342" s="78">
        <f t="shared" si="25"/>
        <v>36378</v>
      </c>
      <c r="G342" s="79">
        <f t="shared" si="26"/>
        <v>36772</v>
      </c>
      <c r="H342" s="80">
        <v>16423</v>
      </c>
      <c r="I342" s="81">
        <v>15848</v>
      </c>
      <c r="J342" s="80">
        <v>1698</v>
      </c>
      <c r="K342" s="81">
        <v>2695</v>
      </c>
      <c r="L342" s="80">
        <v>16011</v>
      </c>
      <c r="M342" s="80">
        <v>2246</v>
      </c>
      <c r="N342" s="80">
        <v>0</v>
      </c>
      <c r="O342" s="81">
        <v>17037</v>
      </c>
      <c r="P342" s="81">
        <v>1192</v>
      </c>
      <c r="Q342" s="81">
        <v>0</v>
      </c>
      <c r="R342" s="80"/>
      <c r="S342" s="81"/>
      <c r="T342" s="78">
        <f t="shared" si="27"/>
        <v>0</v>
      </c>
      <c r="U342" s="79">
        <f t="shared" si="24"/>
        <v>0</v>
      </c>
      <c r="V342" s="80"/>
      <c r="W342" s="81"/>
      <c r="X342" s="80"/>
      <c r="Y342" s="81"/>
      <c r="Z342" s="80"/>
      <c r="AA342" s="80"/>
      <c r="AB342" s="80"/>
      <c r="AC342" s="81"/>
      <c r="AD342" s="81"/>
      <c r="AE342" s="81"/>
      <c r="AF342" s="80"/>
      <c r="AG342" s="81"/>
    </row>
    <row r="343" spans="1:33">
      <c r="A343" s="113" t="s">
        <v>384</v>
      </c>
      <c r="B343" s="120" t="s">
        <v>457</v>
      </c>
      <c r="C343" s="115"/>
      <c r="D343" s="117">
        <v>199953</v>
      </c>
      <c r="E343" s="117">
        <v>10</v>
      </c>
      <c r="F343" s="78">
        <f t="shared" si="25"/>
        <v>30911</v>
      </c>
      <c r="G343" s="79">
        <f t="shared" si="26"/>
        <v>28962</v>
      </c>
      <c r="H343" s="80">
        <v>7603</v>
      </c>
      <c r="I343" s="81">
        <v>6735</v>
      </c>
      <c r="J343" s="80">
        <v>152</v>
      </c>
      <c r="K343" s="81">
        <v>312</v>
      </c>
      <c r="L343" s="80">
        <v>23156</v>
      </c>
      <c r="M343" s="80">
        <v>0</v>
      </c>
      <c r="N343" s="80">
        <v>0</v>
      </c>
      <c r="O343" s="81">
        <v>21915</v>
      </c>
      <c r="P343" s="81">
        <v>0</v>
      </c>
      <c r="Q343" s="81">
        <v>0</v>
      </c>
      <c r="R343" s="80"/>
      <c r="S343" s="81"/>
      <c r="T343" s="78">
        <f t="shared" si="27"/>
        <v>0</v>
      </c>
      <c r="U343" s="79">
        <f t="shared" si="24"/>
        <v>0</v>
      </c>
      <c r="V343" s="80"/>
      <c r="W343" s="81"/>
      <c r="X343" s="80"/>
      <c r="Y343" s="81"/>
      <c r="Z343" s="80"/>
      <c r="AA343" s="80"/>
      <c r="AB343" s="80"/>
      <c r="AC343" s="81"/>
      <c r="AD343" s="81"/>
      <c r="AE343" s="81"/>
      <c r="AF343" s="80"/>
      <c r="AG343" s="81"/>
    </row>
    <row r="344" spans="1:33" s="44" customFormat="1" ht="13.5" customHeight="1">
      <c r="A344" s="133" t="s">
        <v>459</v>
      </c>
      <c r="B344" s="130" t="s">
        <v>460</v>
      </c>
      <c r="C344" s="176"/>
      <c r="D344" s="86">
        <v>207388</v>
      </c>
      <c r="E344" s="86">
        <v>1</v>
      </c>
      <c r="F344" s="78">
        <f t="shared" si="25"/>
        <v>601245</v>
      </c>
      <c r="G344" s="79">
        <f t="shared" si="26"/>
        <v>582490</v>
      </c>
      <c r="H344" s="80">
        <v>514350</v>
      </c>
      <c r="I344" s="81">
        <v>494932</v>
      </c>
      <c r="J344" s="80">
        <v>6288</v>
      </c>
      <c r="K344" s="81"/>
      <c r="L344" s="80">
        <v>79398</v>
      </c>
      <c r="M344" s="80">
        <v>0</v>
      </c>
      <c r="N344" s="80">
        <v>345</v>
      </c>
      <c r="O344" s="81">
        <v>87558</v>
      </c>
      <c r="P344" s="81">
        <v>0</v>
      </c>
      <c r="Q344" s="81">
        <v>0</v>
      </c>
      <c r="R344" s="80">
        <v>864</v>
      </c>
      <c r="S344" s="81">
        <v>0</v>
      </c>
      <c r="T344" s="78">
        <f t="shared" si="27"/>
        <v>102754</v>
      </c>
      <c r="U344" s="79">
        <f t="shared" si="24"/>
        <v>74655</v>
      </c>
      <c r="V344" s="80">
        <v>85372</v>
      </c>
      <c r="W344" s="81">
        <v>58423</v>
      </c>
      <c r="X344" s="80">
        <v>1999</v>
      </c>
      <c r="Y344" s="81">
        <v>0</v>
      </c>
      <c r="Z344" s="80">
        <v>14188</v>
      </c>
      <c r="AA344" s="80">
        <v>0</v>
      </c>
      <c r="AB344" s="80">
        <v>393</v>
      </c>
      <c r="AC344" s="81">
        <v>16232</v>
      </c>
      <c r="AD344" s="81"/>
      <c r="AE344" s="81"/>
      <c r="AF344" s="80">
        <v>802</v>
      </c>
      <c r="AG344" s="81">
        <v>0</v>
      </c>
    </row>
    <row r="345" spans="1:33">
      <c r="A345" s="133" t="s">
        <v>459</v>
      </c>
      <c r="B345" s="130" t="s">
        <v>461</v>
      </c>
      <c r="C345" s="176"/>
      <c r="D345" s="86">
        <v>207500</v>
      </c>
      <c r="E345" s="86">
        <v>1</v>
      </c>
      <c r="F345" s="78">
        <f t="shared" si="25"/>
        <v>598013</v>
      </c>
      <c r="G345" s="79">
        <f t="shared" si="26"/>
        <v>610804</v>
      </c>
      <c r="H345" s="80">
        <v>520604</v>
      </c>
      <c r="I345" s="81">
        <v>529923</v>
      </c>
      <c r="J345" s="80">
        <v>4573</v>
      </c>
      <c r="K345" s="81">
        <v>7329</v>
      </c>
      <c r="L345" s="80">
        <v>70223</v>
      </c>
      <c r="M345" s="80">
        <v>165</v>
      </c>
      <c r="N345" s="80">
        <v>2448</v>
      </c>
      <c r="O345" s="81">
        <v>71511</v>
      </c>
      <c r="P345" s="81">
        <v>99</v>
      </c>
      <c r="Q345" s="81">
        <v>1942</v>
      </c>
      <c r="R345" s="80">
        <v>0</v>
      </c>
      <c r="S345" s="81">
        <v>0</v>
      </c>
      <c r="T345" s="78">
        <f t="shared" si="27"/>
        <v>132854</v>
      </c>
      <c r="U345" s="79">
        <f t="shared" si="24"/>
        <v>139389</v>
      </c>
      <c r="V345" s="80">
        <v>94034</v>
      </c>
      <c r="W345" s="81">
        <v>93255</v>
      </c>
      <c r="X345" s="80">
        <v>15725</v>
      </c>
      <c r="Y345" s="81">
        <v>17315</v>
      </c>
      <c r="Z345" s="80">
        <v>18991</v>
      </c>
      <c r="AA345" s="80">
        <v>705</v>
      </c>
      <c r="AB345" s="80">
        <v>3399</v>
      </c>
      <c r="AC345" s="81">
        <v>24673</v>
      </c>
      <c r="AD345" s="81">
        <v>387</v>
      </c>
      <c r="AE345" s="81">
        <v>3759</v>
      </c>
      <c r="AF345" s="80">
        <v>0</v>
      </c>
      <c r="AG345" s="81">
        <v>0</v>
      </c>
    </row>
    <row r="346" spans="1:33">
      <c r="A346" s="177" t="s">
        <v>459</v>
      </c>
      <c r="B346" s="130" t="s">
        <v>462</v>
      </c>
      <c r="C346" s="176"/>
      <c r="D346" s="86">
        <v>207263</v>
      </c>
      <c r="E346" s="86">
        <v>3</v>
      </c>
      <c r="F346" s="78">
        <f t="shared" si="25"/>
        <v>168077</v>
      </c>
      <c r="G346" s="79">
        <f t="shared" si="26"/>
        <v>167161</v>
      </c>
      <c r="H346" s="80">
        <v>116345</v>
      </c>
      <c r="I346" s="81">
        <v>108585</v>
      </c>
      <c r="J346" s="80">
        <v>210</v>
      </c>
      <c r="K346" s="81">
        <v>60</v>
      </c>
      <c r="L346" s="80">
        <v>50981</v>
      </c>
      <c r="M346" s="80">
        <v>541</v>
      </c>
      <c r="N346" s="80">
        <v>0</v>
      </c>
      <c r="O346" s="81">
        <v>56631</v>
      </c>
      <c r="P346" s="81">
        <v>1885</v>
      </c>
      <c r="Q346" s="81">
        <v>0</v>
      </c>
      <c r="R346" s="80">
        <v>0</v>
      </c>
      <c r="S346" s="81">
        <v>0</v>
      </c>
      <c r="T346" s="78">
        <f t="shared" si="27"/>
        <v>21406</v>
      </c>
      <c r="U346" s="79">
        <f t="shared" si="24"/>
        <v>19836</v>
      </c>
      <c r="V346" s="80">
        <v>15938</v>
      </c>
      <c r="W346" s="81">
        <v>13906</v>
      </c>
      <c r="X346" s="80">
        <v>0</v>
      </c>
      <c r="Y346" s="81">
        <v>0</v>
      </c>
      <c r="Z346" s="80">
        <v>4944</v>
      </c>
      <c r="AA346" s="80">
        <v>524</v>
      </c>
      <c r="AB346" s="80">
        <v>0</v>
      </c>
      <c r="AC346" s="81">
        <v>5475</v>
      </c>
      <c r="AD346" s="81">
        <v>455</v>
      </c>
      <c r="AE346" s="81">
        <v>0</v>
      </c>
      <c r="AF346" s="80"/>
      <c r="AG346" s="81">
        <v>0</v>
      </c>
    </row>
    <row r="347" spans="1:33">
      <c r="A347" s="133" t="s">
        <v>459</v>
      </c>
      <c r="B347" s="130" t="s">
        <v>463</v>
      </c>
      <c r="C347" s="176"/>
      <c r="D347" s="86">
        <v>206941</v>
      </c>
      <c r="E347" s="86">
        <v>3</v>
      </c>
      <c r="F347" s="78">
        <f t="shared" si="25"/>
        <v>361562</v>
      </c>
      <c r="G347" s="79">
        <f t="shared" si="26"/>
        <v>353704</v>
      </c>
      <c r="H347" s="80">
        <v>289794</v>
      </c>
      <c r="I347" s="81">
        <v>283821</v>
      </c>
      <c r="J347" s="80">
        <v>8471</v>
      </c>
      <c r="K347" s="81">
        <v>3678</v>
      </c>
      <c r="L347" s="80">
        <v>58785</v>
      </c>
      <c r="M347" s="80">
        <v>400</v>
      </c>
      <c r="N347" s="80">
        <v>4112</v>
      </c>
      <c r="O347" s="81">
        <v>61430</v>
      </c>
      <c r="P347" s="81">
        <v>463</v>
      </c>
      <c r="Q347" s="81">
        <v>3929</v>
      </c>
      <c r="R347" s="80"/>
      <c r="S347" s="81">
        <v>383</v>
      </c>
      <c r="T347" s="78">
        <f t="shared" si="27"/>
        <v>25848</v>
      </c>
      <c r="U347" s="79">
        <f t="shared" si="24"/>
        <v>24556</v>
      </c>
      <c r="V347" s="80">
        <v>22244</v>
      </c>
      <c r="W347" s="81">
        <v>20821</v>
      </c>
      <c r="X347" s="80">
        <v>229</v>
      </c>
      <c r="Y347" s="81">
        <v>258</v>
      </c>
      <c r="Z347" s="80">
        <v>1758</v>
      </c>
      <c r="AA347" s="80">
        <v>3</v>
      </c>
      <c r="AB347" s="80">
        <v>1614</v>
      </c>
      <c r="AC347" s="81">
        <v>1492</v>
      </c>
      <c r="AD347" s="81">
        <v>12</v>
      </c>
      <c r="AE347" s="81">
        <v>1973</v>
      </c>
      <c r="AF347" s="80"/>
      <c r="AG347" s="81">
        <v>0</v>
      </c>
    </row>
    <row r="348" spans="1:33">
      <c r="A348" s="133" t="s">
        <v>459</v>
      </c>
      <c r="B348" s="130" t="s">
        <v>464</v>
      </c>
      <c r="C348" s="178"/>
      <c r="D348" s="86">
        <v>207847</v>
      </c>
      <c r="E348" s="86">
        <v>4</v>
      </c>
      <c r="F348" s="78">
        <f t="shared" si="25"/>
        <v>81161</v>
      </c>
      <c r="G348" s="79">
        <f t="shared" si="26"/>
        <v>79180</v>
      </c>
      <c r="H348" s="80">
        <v>50118</v>
      </c>
      <c r="I348" s="81">
        <v>47241</v>
      </c>
      <c r="J348" s="80">
        <v>772</v>
      </c>
      <c r="K348" s="81">
        <v>1893</v>
      </c>
      <c r="L348" s="80">
        <v>27812</v>
      </c>
      <c r="M348" s="80">
        <v>2459</v>
      </c>
      <c r="N348" s="80">
        <v>0</v>
      </c>
      <c r="O348" s="81">
        <v>27833</v>
      </c>
      <c r="P348" s="81">
        <v>2213</v>
      </c>
      <c r="Q348" s="81">
        <v>0</v>
      </c>
      <c r="R348" s="80"/>
      <c r="S348" s="81">
        <v>0</v>
      </c>
      <c r="T348" s="78">
        <f t="shared" si="27"/>
        <v>8588</v>
      </c>
      <c r="U348" s="79">
        <f t="shared" si="24"/>
        <v>12524</v>
      </c>
      <c r="V348" s="80">
        <v>1697</v>
      </c>
      <c r="W348" s="81">
        <v>845</v>
      </c>
      <c r="X348" s="80">
        <v>1245</v>
      </c>
      <c r="Y348" s="81">
        <v>1539</v>
      </c>
      <c r="Z348" s="80">
        <v>5427</v>
      </c>
      <c r="AA348" s="80">
        <v>219</v>
      </c>
      <c r="AB348" s="80">
        <v>0</v>
      </c>
      <c r="AC348" s="81">
        <v>10083</v>
      </c>
      <c r="AD348" s="81">
        <v>57</v>
      </c>
      <c r="AE348" s="81">
        <v>0</v>
      </c>
      <c r="AF348" s="80"/>
      <c r="AG348" s="81">
        <v>0</v>
      </c>
    </row>
    <row r="349" spans="1:33">
      <c r="A349" s="133" t="s">
        <v>459</v>
      </c>
      <c r="B349" s="130" t="s">
        <v>465</v>
      </c>
      <c r="C349" s="176"/>
      <c r="D349" s="86">
        <v>206914</v>
      </c>
      <c r="E349" s="86">
        <v>5</v>
      </c>
      <c r="F349" s="78">
        <f t="shared" si="25"/>
        <v>108770</v>
      </c>
      <c r="G349" s="79">
        <f t="shared" si="26"/>
        <v>101111</v>
      </c>
      <c r="H349" s="80">
        <v>78864</v>
      </c>
      <c r="I349" s="81">
        <v>69479</v>
      </c>
      <c r="J349" s="80">
        <v>942</v>
      </c>
      <c r="K349" s="81">
        <v>1228</v>
      </c>
      <c r="L349" s="80">
        <v>19905</v>
      </c>
      <c r="M349" s="80">
        <v>9059</v>
      </c>
      <c r="N349" s="80">
        <v>0</v>
      </c>
      <c r="O349" s="81">
        <v>20822</v>
      </c>
      <c r="P349" s="81">
        <v>9582</v>
      </c>
      <c r="Q349" s="81">
        <v>0</v>
      </c>
      <c r="R349" s="80"/>
      <c r="S349" s="81">
        <v>0</v>
      </c>
      <c r="T349" s="78">
        <f t="shared" si="27"/>
        <v>6245</v>
      </c>
      <c r="U349" s="79">
        <f t="shared" si="24"/>
        <v>6010</v>
      </c>
      <c r="V349" s="80">
        <v>2603</v>
      </c>
      <c r="W349" s="81">
        <v>2167</v>
      </c>
      <c r="X349" s="80"/>
      <c r="Y349" s="81">
        <v>0</v>
      </c>
      <c r="Z349" s="80">
        <v>3246</v>
      </c>
      <c r="AA349" s="80">
        <v>396</v>
      </c>
      <c r="AB349" s="80">
        <v>0</v>
      </c>
      <c r="AC349" s="81">
        <v>3321</v>
      </c>
      <c r="AD349" s="81">
        <v>522</v>
      </c>
      <c r="AE349" s="81">
        <v>0</v>
      </c>
      <c r="AF349" s="80"/>
      <c r="AG349" s="81">
        <v>0</v>
      </c>
    </row>
    <row r="350" spans="1:33">
      <c r="A350" s="133" t="s">
        <v>459</v>
      </c>
      <c r="B350" s="130" t="s">
        <v>466</v>
      </c>
      <c r="C350" s="176"/>
      <c r="D350" s="86">
        <v>207041</v>
      </c>
      <c r="E350" s="86">
        <v>5</v>
      </c>
      <c r="F350" s="78">
        <f t="shared" si="25"/>
        <v>109038</v>
      </c>
      <c r="G350" s="79">
        <f t="shared" si="26"/>
        <v>85261</v>
      </c>
      <c r="H350" s="80">
        <v>89427</v>
      </c>
      <c r="I350" s="81">
        <v>66058</v>
      </c>
      <c r="J350" s="80">
        <v>1952</v>
      </c>
      <c r="K350" s="81">
        <v>1798</v>
      </c>
      <c r="L350" s="80">
        <v>12578</v>
      </c>
      <c r="M350" s="80">
        <v>734</v>
      </c>
      <c r="N350" s="80">
        <v>4347</v>
      </c>
      <c r="O350" s="81">
        <v>14250</v>
      </c>
      <c r="P350" s="81">
        <v>69</v>
      </c>
      <c r="Q350" s="81">
        <v>3086</v>
      </c>
      <c r="R350" s="80"/>
      <c r="S350" s="81">
        <v>0</v>
      </c>
      <c r="T350" s="78">
        <f t="shared" si="27"/>
        <v>13511</v>
      </c>
      <c r="U350" s="79">
        <f t="shared" si="24"/>
        <v>10913</v>
      </c>
      <c r="V350" s="80">
        <v>3679</v>
      </c>
      <c r="W350" s="81">
        <v>3468</v>
      </c>
      <c r="X350" s="80">
        <v>121</v>
      </c>
      <c r="Y350" s="81">
        <v>0</v>
      </c>
      <c r="Z350" s="80">
        <v>8219</v>
      </c>
      <c r="AA350" s="80">
        <v>636</v>
      </c>
      <c r="AB350" s="80">
        <v>856</v>
      </c>
      <c r="AC350" s="81">
        <v>6573</v>
      </c>
      <c r="AD350" s="81">
        <v>173</v>
      </c>
      <c r="AE350" s="81">
        <v>699</v>
      </c>
      <c r="AF350" s="80"/>
      <c r="AG350" s="81">
        <v>0</v>
      </c>
    </row>
    <row r="351" spans="1:33">
      <c r="A351" s="129" t="s">
        <v>459</v>
      </c>
      <c r="B351" s="130" t="s">
        <v>467</v>
      </c>
      <c r="C351" s="176"/>
      <c r="D351" s="86">
        <v>207209</v>
      </c>
      <c r="E351" s="86">
        <v>5</v>
      </c>
      <c r="F351" s="78">
        <f t="shared" si="25"/>
        <v>57164</v>
      </c>
      <c r="G351" s="79">
        <f t="shared" si="26"/>
        <v>57408</v>
      </c>
      <c r="H351" s="80">
        <v>54113</v>
      </c>
      <c r="I351" s="81">
        <v>50993</v>
      </c>
      <c r="J351" s="80">
        <v>0</v>
      </c>
      <c r="K351" s="81">
        <v>0</v>
      </c>
      <c r="L351" s="80">
        <v>2999</v>
      </c>
      <c r="M351" s="80">
        <v>52</v>
      </c>
      <c r="N351" s="80">
        <v>0</v>
      </c>
      <c r="O351" s="81">
        <v>6415</v>
      </c>
      <c r="P351" s="81">
        <v>0</v>
      </c>
      <c r="Q351" s="81">
        <v>0</v>
      </c>
      <c r="R351" s="80"/>
      <c r="S351" s="81">
        <v>0</v>
      </c>
      <c r="T351" s="78">
        <f t="shared" si="27"/>
        <v>6980</v>
      </c>
      <c r="U351" s="79">
        <f t="shared" si="24"/>
        <v>5908</v>
      </c>
      <c r="V351" s="80">
        <v>5438</v>
      </c>
      <c r="W351" s="81">
        <v>5611</v>
      </c>
      <c r="X351" s="80"/>
      <c r="Y351" s="81"/>
      <c r="Z351" s="80">
        <v>1437</v>
      </c>
      <c r="AA351" s="80">
        <v>105</v>
      </c>
      <c r="AB351" s="80">
        <v>0</v>
      </c>
      <c r="AC351" s="81">
        <v>297</v>
      </c>
      <c r="AD351" s="81">
        <v>0</v>
      </c>
      <c r="AE351" s="81">
        <v>0</v>
      </c>
      <c r="AF351" s="80"/>
      <c r="AG351" s="81">
        <v>0</v>
      </c>
    </row>
    <row r="352" spans="1:33">
      <c r="A352" s="133" t="s">
        <v>459</v>
      </c>
      <c r="B352" s="130" t="s">
        <v>468</v>
      </c>
      <c r="C352" s="176"/>
      <c r="D352" s="86">
        <v>207306</v>
      </c>
      <c r="E352" s="86">
        <v>5</v>
      </c>
      <c r="F352" s="78">
        <f t="shared" si="25"/>
        <v>50722</v>
      </c>
      <c r="G352" s="79">
        <f t="shared" si="26"/>
        <v>48846</v>
      </c>
      <c r="H352" s="80">
        <v>34761</v>
      </c>
      <c r="I352" s="81">
        <v>32892</v>
      </c>
      <c r="J352" s="80">
        <v>21</v>
      </c>
      <c r="K352" s="81">
        <v>24</v>
      </c>
      <c r="L352" s="80">
        <v>7852</v>
      </c>
      <c r="M352" s="80">
        <v>7353</v>
      </c>
      <c r="N352" s="80">
        <v>735</v>
      </c>
      <c r="O352" s="81">
        <v>8532</v>
      </c>
      <c r="P352" s="81">
        <v>7185</v>
      </c>
      <c r="Q352" s="81">
        <v>213</v>
      </c>
      <c r="R352" s="80"/>
      <c r="S352" s="81">
        <v>0</v>
      </c>
      <c r="T352" s="78">
        <f t="shared" si="27"/>
        <v>2909</v>
      </c>
      <c r="U352" s="79">
        <f t="shared" si="24"/>
        <v>2663</v>
      </c>
      <c r="V352" s="80">
        <v>1035</v>
      </c>
      <c r="W352" s="81">
        <v>999</v>
      </c>
      <c r="X352" s="80">
        <v>0</v>
      </c>
      <c r="Y352" s="81">
        <v>6</v>
      </c>
      <c r="Z352" s="80">
        <v>576</v>
      </c>
      <c r="AA352" s="80">
        <v>1103</v>
      </c>
      <c r="AB352" s="80">
        <v>195</v>
      </c>
      <c r="AC352" s="81">
        <v>842</v>
      </c>
      <c r="AD352" s="81">
        <v>544</v>
      </c>
      <c r="AE352" s="81">
        <v>272</v>
      </c>
      <c r="AF352" s="80"/>
      <c r="AG352" s="81">
        <v>0</v>
      </c>
    </row>
    <row r="353" spans="1:33">
      <c r="A353" s="133" t="s">
        <v>459</v>
      </c>
      <c r="B353" s="130" t="s">
        <v>469</v>
      </c>
      <c r="C353" s="183" t="s">
        <v>488</v>
      </c>
      <c r="D353" s="86">
        <v>207865</v>
      </c>
      <c r="E353" s="21">
        <v>4</v>
      </c>
      <c r="F353" s="78">
        <f t="shared" si="25"/>
        <v>123835</v>
      </c>
      <c r="G353" s="79">
        <f t="shared" si="26"/>
        <v>126266</v>
      </c>
      <c r="H353" s="80">
        <v>97998</v>
      </c>
      <c r="I353" s="81">
        <v>96056</v>
      </c>
      <c r="J353" s="80">
        <v>812</v>
      </c>
      <c r="K353" s="81">
        <v>1390</v>
      </c>
      <c r="L353" s="80">
        <v>23072</v>
      </c>
      <c r="M353" s="80">
        <v>1953</v>
      </c>
      <c r="N353" s="80">
        <v>0</v>
      </c>
      <c r="O353" s="81">
        <v>27736</v>
      </c>
      <c r="P353" s="81">
        <v>1084</v>
      </c>
      <c r="Q353" s="81">
        <v>0</v>
      </c>
      <c r="R353" s="80"/>
      <c r="S353" s="81">
        <v>0</v>
      </c>
      <c r="T353" s="78">
        <f t="shared" si="27"/>
        <v>13697</v>
      </c>
      <c r="U353" s="79">
        <f t="shared" si="24"/>
        <v>14123</v>
      </c>
      <c r="V353" s="80">
        <v>7429</v>
      </c>
      <c r="W353" s="81">
        <v>7421</v>
      </c>
      <c r="X353" s="80">
        <v>15</v>
      </c>
      <c r="Y353" s="81">
        <v>30</v>
      </c>
      <c r="Z353" s="80">
        <v>5549</v>
      </c>
      <c r="AA353" s="80">
        <v>703</v>
      </c>
      <c r="AB353" s="80">
        <v>1</v>
      </c>
      <c r="AC353" s="81">
        <v>6627</v>
      </c>
      <c r="AD353" s="81">
        <v>45</v>
      </c>
      <c r="AE353" s="81">
        <v>0</v>
      </c>
      <c r="AF353" s="80"/>
      <c r="AG353" s="81">
        <v>0</v>
      </c>
    </row>
    <row r="354" spans="1:33">
      <c r="A354" s="129" t="s">
        <v>459</v>
      </c>
      <c r="B354" s="130" t="s">
        <v>470</v>
      </c>
      <c r="C354" s="176"/>
      <c r="D354" s="86">
        <v>207351</v>
      </c>
      <c r="E354" s="86">
        <v>6</v>
      </c>
      <c r="F354" s="78">
        <f t="shared" si="25"/>
        <v>31044</v>
      </c>
      <c r="G354" s="79">
        <f t="shared" si="26"/>
        <v>29451</v>
      </c>
      <c r="H354" s="80">
        <v>23743</v>
      </c>
      <c r="I354" s="81">
        <v>22303</v>
      </c>
      <c r="J354" s="80">
        <v>0</v>
      </c>
      <c r="K354" s="81">
        <v>0</v>
      </c>
      <c r="L354" s="80">
        <v>7080</v>
      </c>
      <c r="M354" s="80">
        <v>162</v>
      </c>
      <c r="N354" s="80">
        <v>59</v>
      </c>
      <c r="O354" s="81">
        <v>7079</v>
      </c>
      <c r="P354" s="81">
        <v>69</v>
      </c>
      <c r="Q354" s="81">
        <v>0</v>
      </c>
      <c r="R354" s="80"/>
      <c r="S354" s="81">
        <v>0</v>
      </c>
      <c r="T354" s="78">
        <f t="shared" si="27"/>
        <v>0</v>
      </c>
      <c r="U354" s="79">
        <f t="shared" si="24"/>
        <v>0</v>
      </c>
      <c r="V354" s="80">
        <v>0</v>
      </c>
      <c r="W354" s="81">
        <v>0</v>
      </c>
      <c r="X354" s="80"/>
      <c r="Y354" s="81">
        <v>0</v>
      </c>
      <c r="Z354" s="80"/>
      <c r="AA354" s="80"/>
      <c r="AB354" s="80"/>
      <c r="AC354" s="81">
        <v>0</v>
      </c>
      <c r="AD354" s="81">
        <v>0</v>
      </c>
      <c r="AE354" s="81">
        <v>0</v>
      </c>
      <c r="AF354" s="80"/>
      <c r="AG354" s="81">
        <v>0</v>
      </c>
    </row>
    <row r="355" spans="1:33">
      <c r="A355" s="129" t="s">
        <v>459</v>
      </c>
      <c r="B355" s="130" t="s">
        <v>471</v>
      </c>
      <c r="C355" s="176"/>
      <c r="D355" s="86">
        <v>207661</v>
      </c>
      <c r="E355" s="179">
        <v>6</v>
      </c>
      <c r="F355" s="78">
        <f t="shared" si="25"/>
        <v>86878</v>
      </c>
      <c r="G355" s="79">
        <f t="shared" si="26"/>
        <v>83657</v>
      </c>
      <c r="H355" s="80">
        <v>61158</v>
      </c>
      <c r="I355" s="81">
        <v>58919</v>
      </c>
      <c r="J355" s="80">
        <v>0</v>
      </c>
      <c r="K355" s="81">
        <v>0</v>
      </c>
      <c r="L355" s="80">
        <v>23782</v>
      </c>
      <c r="M355" s="80">
        <v>1938</v>
      </c>
      <c r="N355" s="80">
        <v>0</v>
      </c>
      <c r="O355" s="81">
        <v>23020</v>
      </c>
      <c r="P355" s="81">
        <v>1656</v>
      </c>
      <c r="Q355" s="81">
        <v>6</v>
      </c>
      <c r="R355" s="80"/>
      <c r="S355" s="81">
        <v>56</v>
      </c>
      <c r="T355" s="78">
        <f t="shared" si="27"/>
        <v>474</v>
      </c>
      <c r="U355" s="79">
        <f t="shared" si="24"/>
        <v>504</v>
      </c>
      <c r="V355" s="80">
        <v>474</v>
      </c>
      <c r="W355" s="81">
        <v>459</v>
      </c>
      <c r="X355" s="80"/>
      <c r="Y355" s="81">
        <v>0</v>
      </c>
      <c r="Z355" s="80"/>
      <c r="AA355" s="80"/>
      <c r="AB355" s="80"/>
      <c r="AC355" s="81">
        <v>45</v>
      </c>
      <c r="AD355" s="81">
        <v>0</v>
      </c>
      <c r="AE355" s="81">
        <v>0</v>
      </c>
      <c r="AF355" s="80"/>
      <c r="AG355" s="81">
        <v>0</v>
      </c>
    </row>
    <row r="356" spans="1:33">
      <c r="A356" s="129" t="s">
        <v>459</v>
      </c>
      <c r="B356" s="130" t="s">
        <v>472</v>
      </c>
      <c r="C356" s="176"/>
      <c r="D356" s="86">
        <v>207722</v>
      </c>
      <c r="E356" s="86">
        <v>6</v>
      </c>
      <c r="F356" s="78">
        <f t="shared" si="25"/>
        <v>25599</v>
      </c>
      <c r="G356" s="79">
        <f t="shared" si="26"/>
        <v>25677</v>
      </c>
      <c r="H356" s="80">
        <v>25599</v>
      </c>
      <c r="I356" s="81">
        <v>25638</v>
      </c>
      <c r="J356" s="80">
        <v>0</v>
      </c>
      <c r="K356" s="81">
        <v>39</v>
      </c>
      <c r="L356" s="80">
        <v>0</v>
      </c>
      <c r="M356" s="80">
        <v>0</v>
      </c>
      <c r="N356" s="80">
        <v>0</v>
      </c>
      <c r="O356" s="81">
        <v>0</v>
      </c>
      <c r="P356" s="81">
        <v>0</v>
      </c>
      <c r="Q356" s="81">
        <v>0</v>
      </c>
      <c r="R356" s="80"/>
      <c r="S356" s="81">
        <v>0</v>
      </c>
      <c r="T356" s="78">
        <f t="shared" si="27"/>
        <v>0</v>
      </c>
      <c r="U356" s="79">
        <f t="shared" si="24"/>
        <v>0</v>
      </c>
      <c r="V356" s="80"/>
      <c r="W356" s="81"/>
      <c r="X356" s="80"/>
      <c r="Y356" s="81"/>
      <c r="Z356" s="80"/>
      <c r="AA356" s="80"/>
      <c r="AB356" s="80"/>
      <c r="AC356" s="81"/>
      <c r="AD356" s="81"/>
      <c r="AE356" s="81"/>
      <c r="AF356" s="80"/>
      <c r="AG356" s="81"/>
    </row>
    <row r="357" spans="1:33">
      <c r="A357" s="129" t="s">
        <v>459</v>
      </c>
      <c r="B357" s="130" t="s">
        <v>473</v>
      </c>
      <c r="C357" s="176"/>
      <c r="D357" s="86">
        <v>207564</v>
      </c>
      <c r="E357" s="86">
        <v>7</v>
      </c>
      <c r="F357" s="78">
        <f t="shared" si="25"/>
        <v>72696</v>
      </c>
      <c r="G357" s="79">
        <f t="shared" si="26"/>
        <v>70812</v>
      </c>
      <c r="H357" s="80">
        <v>58379</v>
      </c>
      <c r="I357" s="81">
        <v>54406</v>
      </c>
      <c r="J357" s="80">
        <v>766</v>
      </c>
      <c r="K357" s="81">
        <v>0</v>
      </c>
      <c r="L357" s="80">
        <v>12841</v>
      </c>
      <c r="M357" s="80">
        <v>0</v>
      </c>
      <c r="N357" s="80">
        <v>710</v>
      </c>
      <c r="O357" s="81">
        <v>13569</v>
      </c>
      <c r="P357" s="81">
        <v>0</v>
      </c>
      <c r="Q357" s="81">
        <v>2837</v>
      </c>
      <c r="R357" s="80"/>
      <c r="S357" s="81">
        <v>0</v>
      </c>
      <c r="T357" s="78">
        <f t="shared" si="27"/>
        <v>0</v>
      </c>
      <c r="U357" s="79">
        <f t="shared" si="24"/>
        <v>0</v>
      </c>
      <c r="V357" s="80"/>
      <c r="W357" s="81"/>
      <c r="X357" s="80"/>
      <c r="Y357" s="81"/>
      <c r="Z357" s="80"/>
      <c r="AA357" s="80"/>
      <c r="AB357" s="80"/>
      <c r="AC357" s="81"/>
      <c r="AD357" s="81"/>
      <c r="AE357" s="81"/>
      <c r="AF357" s="80"/>
      <c r="AG357" s="81"/>
    </row>
    <row r="358" spans="1:33">
      <c r="A358" s="129" t="s">
        <v>459</v>
      </c>
      <c r="B358" s="130" t="s">
        <v>474</v>
      </c>
      <c r="C358" s="176"/>
      <c r="D358" s="86">
        <v>207397</v>
      </c>
      <c r="E358" s="86">
        <v>7</v>
      </c>
      <c r="F358" s="78">
        <f t="shared" si="25"/>
        <v>128225</v>
      </c>
      <c r="G358" s="79">
        <f t="shared" si="26"/>
        <v>133945</v>
      </c>
      <c r="H358" s="80">
        <v>75121</v>
      </c>
      <c r="I358" s="81">
        <v>78488</v>
      </c>
      <c r="J358" s="80">
        <v>294</v>
      </c>
      <c r="K358" s="81">
        <v>10</v>
      </c>
      <c r="L358" s="80">
        <v>52129</v>
      </c>
      <c r="M358" s="80">
        <v>672</v>
      </c>
      <c r="N358" s="80">
        <v>0</v>
      </c>
      <c r="O358" s="81">
        <v>55447</v>
      </c>
      <c r="P358" s="81">
        <v>0</v>
      </c>
      <c r="Q358" s="81">
        <v>0</v>
      </c>
      <c r="R358" s="80">
        <v>9</v>
      </c>
      <c r="S358" s="81">
        <v>0</v>
      </c>
      <c r="T358" s="78">
        <f t="shared" si="27"/>
        <v>0</v>
      </c>
      <c r="U358" s="79">
        <f t="shared" si="24"/>
        <v>0</v>
      </c>
      <c r="V358" s="80"/>
      <c r="W358" s="81"/>
      <c r="X358" s="80"/>
      <c r="Y358" s="81"/>
      <c r="Z358" s="80"/>
      <c r="AA358" s="80"/>
      <c r="AB358" s="80"/>
      <c r="AC358" s="81"/>
      <c r="AD358" s="81"/>
      <c r="AE358" s="81"/>
      <c r="AF358" s="80"/>
      <c r="AG358" s="81"/>
    </row>
    <row r="359" spans="1:33">
      <c r="A359" s="129" t="s">
        <v>459</v>
      </c>
      <c r="B359" s="85" t="s">
        <v>475</v>
      </c>
      <c r="C359" s="176"/>
      <c r="D359" s="86">
        <v>207449</v>
      </c>
      <c r="E359" s="86">
        <v>8</v>
      </c>
      <c r="F359" s="78">
        <f t="shared" si="25"/>
        <v>248468</v>
      </c>
      <c r="G359" s="79">
        <f t="shared" si="26"/>
        <v>237222</v>
      </c>
      <c r="H359" s="80">
        <v>175107</v>
      </c>
      <c r="I359" s="81">
        <v>167309</v>
      </c>
      <c r="J359" s="80">
        <v>4840</v>
      </c>
      <c r="K359" s="81">
        <v>2030</v>
      </c>
      <c r="L359" s="80">
        <v>67913</v>
      </c>
      <c r="M359" s="80">
        <v>0</v>
      </c>
      <c r="N359" s="80">
        <v>608</v>
      </c>
      <c r="O359" s="81">
        <v>66704</v>
      </c>
      <c r="P359" s="81">
        <v>0</v>
      </c>
      <c r="Q359" s="81">
        <v>1179</v>
      </c>
      <c r="R359" s="80"/>
      <c r="S359" s="81">
        <v>0</v>
      </c>
      <c r="T359" s="78">
        <f t="shared" si="27"/>
        <v>0</v>
      </c>
      <c r="U359" s="79">
        <f t="shared" si="24"/>
        <v>0</v>
      </c>
      <c r="V359" s="80"/>
      <c r="W359" s="81"/>
      <c r="X359" s="80"/>
      <c r="Y359" s="81"/>
      <c r="Z359" s="80"/>
      <c r="AA359" s="80"/>
      <c r="AB359" s="80"/>
      <c r="AC359" s="81"/>
      <c r="AD359" s="81"/>
      <c r="AE359" s="81"/>
      <c r="AF359" s="80"/>
      <c r="AG359" s="81"/>
    </row>
    <row r="360" spans="1:33">
      <c r="A360" s="129" t="s">
        <v>459</v>
      </c>
      <c r="B360" s="130" t="s">
        <v>476</v>
      </c>
      <c r="C360" s="176"/>
      <c r="D360" s="86">
        <v>207935</v>
      </c>
      <c r="E360" s="86">
        <v>8</v>
      </c>
      <c r="F360" s="78">
        <f t="shared" si="25"/>
        <v>315213</v>
      </c>
      <c r="G360" s="79">
        <f t="shared" si="26"/>
        <v>303366</v>
      </c>
      <c r="H360" s="80">
        <v>195192</v>
      </c>
      <c r="I360" s="81">
        <v>194052</v>
      </c>
      <c r="J360" s="80">
        <v>18413</v>
      </c>
      <c r="K360" s="81">
        <v>19068</v>
      </c>
      <c r="L360" s="80">
        <v>101608</v>
      </c>
      <c r="M360" s="80">
        <v>0</v>
      </c>
      <c r="N360" s="80">
        <v>0</v>
      </c>
      <c r="O360" s="81">
        <v>90246</v>
      </c>
      <c r="P360" s="81">
        <v>0</v>
      </c>
      <c r="Q360" s="81">
        <v>0</v>
      </c>
      <c r="R360" s="80">
        <v>0</v>
      </c>
      <c r="S360" s="81">
        <v>0</v>
      </c>
      <c r="T360" s="78">
        <f t="shared" si="27"/>
        <v>0</v>
      </c>
      <c r="U360" s="79">
        <f t="shared" si="24"/>
        <v>0</v>
      </c>
      <c r="V360" s="80"/>
      <c r="W360" s="81"/>
      <c r="X360" s="80"/>
      <c r="Y360" s="81"/>
      <c r="Z360" s="80"/>
      <c r="AA360" s="80"/>
      <c r="AB360" s="80"/>
      <c r="AC360" s="81"/>
      <c r="AD360" s="81"/>
      <c r="AE360" s="81"/>
      <c r="AF360" s="80"/>
      <c r="AG360" s="81"/>
    </row>
    <row r="361" spans="1:33">
      <c r="A361" s="129" t="s">
        <v>459</v>
      </c>
      <c r="B361" s="85" t="s">
        <v>477</v>
      </c>
      <c r="C361" s="176"/>
      <c r="D361" s="86">
        <v>207281</v>
      </c>
      <c r="E361" s="86">
        <v>9</v>
      </c>
      <c r="F361" s="78">
        <f t="shared" si="25"/>
        <v>90636</v>
      </c>
      <c r="G361" s="79">
        <f t="shared" si="26"/>
        <v>82209</v>
      </c>
      <c r="H361" s="80">
        <v>64911</v>
      </c>
      <c r="I361" s="81">
        <v>57523</v>
      </c>
      <c r="J361" s="80">
        <v>1360</v>
      </c>
      <c r="K361" s="81">
        <v>414</v>
      </c>
      <c r="L361" s="80">
        <v>11605</v>
      </c>
      <c r="M361" s="80">
        <v>12760</v>
      </c>
      <c r="N361" s="80">
        <v>0</v>
      </c>
      <c r="O361" s="81">
        <v>11996</v>
      </c>
      <c r="P361" s="81">
        <v>12276</v>
      </c>
      <c r="Q361" s="81">
        <v>0</v>
      </c>
      <c r="R361" s="80"/>
      <c r="S361" s="81">
        <v>0</v>
      </c>
      <c r="T361" s="78">
        <f t="shared" si="27"/>
        <v>0</v>
      </c>
      <c r="U361" s="79">
        <f t="shared" si="24"/>
        <v>0</v>
      </c>
      <c r="V361" s="80"/>
      <c r="W361" s="81"/>
      <c r="X361" s="80"/>
      <c r="Y361" s="81"/>
      <c r="Z361" s="80"/>
      <c r="AA361" s="80"/>
      <c r="AB361" s="80"/>
      <c r="AC361" s="81"/>
      <c r="AD361" s="81"/>
      <c r="AE361" s="81"/>
      <c r="AF361" s="80"/>
      <c r="AG361" s="81"/>
    </row>
    <row r="362" spans="1:33">
      <c r="A362" s="129" t="s">
        <v>459</v>
      </c>
      <c r="B362" s="130" t="s">
        <v>478</v>
      </c>
      <c r="C362" s="178"/>
      <c r="D362" s="86">
        <v>207670</v>
      </c>
      <c r="E362" s="86">
        <v>9</v>
      </c>
      <c r="F362" s="78">
        <f t="shared" si="25"/>
        <v>131293</v>
      </c>
      <c r="G362" s="79">
        <f t="shared" si="26"/>
        <v>130302</v>
      </c>
      <c r="H362" s="80">
        <v>91926</v>
      </c>
      <c r="I362" s="81">
        <v>91464</v>
      </c>
      <c r="J362" s="80">
        <v>413</v>
      </c>
      <c r="K362" s="81">
        <v>388</v>
      </c>
      <c r="L362" s="80">
        <v>36520</v>
      </c>
      <c r="M362" s="80">
        <v>996</v>
      </c>
      <c r="N362" s="80">
        <v>1438</v>
      </c>
      <c r="O362" s="81">
        <v>37430</v>
      </c>
      <c r="P362" s="81">
        <v>1020</v>
      </c>
      <c r="Q362" s="81">
        <v>0</v>
      </c>
      <c r="R362" s="80"/>
      <c r="S362" s="81">
        <v>0</v>
      </c>
      <c r="T362" s="78">
        <f t="shared" si="27"/>
        <v>0</v>
      </c>
      <c r="U362" s="79">
        <f t="shared" si="24"/>
        <v>0</v>
      </c>
      <c r="V362" s="80"/>
      <c r="W362" s="81"/>
      <c r="X362" s="80"/>
      <c r="Y362" s="81"/>
      <c r="Z362" s="80"/>
      <c r="AA362" s="80"/>
      <c r="AB362" s="80"/>
      <c r="AC362" s="81"/>
      <c r="AD362" s="81"/>
      <c r="AE362" s="81"/>
      <c r="AF362" s="80"/>
      <c r="AG362" s="81"/>
    </row>
    <row r="363" spans="1:33">
      <c r="A363" s="129" t="s">
        <v>459</v>
      </c>
      <c r="B363" s="130" t="s">
        <v>479</v>
      </c>
      <c r="C363" s="178"/>
      <c r="D363" s="86">
        <v>206923</v>
      </c>
      <c r="E363" s="86">
        <v>10</v>
      </c>
      <c r="F363" s="78">
        <f t="shared" si="25"/>
        <v>49325</v>
      </c>
      <c r="G363" s="79">
        <f t="shared" si="26"/>
        <v>45775</v>
      </c>
      <c r="H363" s="80">
        <v>47820</v>
      </c>
      <c r="I363" s="81">
        <v>44161</v>
      </c>
      <c r="J363" s="80">
        <v>0</v>
      </c>
      <c r="K363" s="81">
        <v>0</v>
      </c>
      <c r="L363" s="80">
        <v>0</v>
      </c>
      <c r="M363" s="80">
        <v>1505</v>
      </c>
      <c r="N363" s="80">
        <v>0</v>
      </c>
      <c r="O363" s="81">
        <v>0</v>
      </c>
      <c r="P363" s="81">
        <v>1614</v>
      </c>
      <c r="Q363" s="81">
        <v>0</v>
      </c>
      <c r="R363" s="80"/>
      <c r="S363" s="81">
        <v>0</v>
      </c>
      <c r="T363" s="78">
        <f t="shared" si="27"/>
        <v>0</v>
      </c>
      <c r="U363" s="79">
        <f t="shared" si="24"/>
        <v>0</v>
      </c>
      <c r="V363" s="80"/>
      <c r="W363" s="81"/>
      <c r="X363" s="80"/>
      <c r="Y363" s="81"/>
      <c r="Z363" s="80"/>
      <c r="AA363" s="80"/>
      <c r="AB363" s="80"/>
      <c r="AC363" s="81"/>
      <c r="AD363" s="81"/>
      <c r="AE363" s="81"/>
      <c r="AF363" s="80"/>
      <c r="AG363" s="81"/>
    </row>
    <row r="364" spans="1:33">
      <c r="A364" s="129" t="s">
        <v>459</v>
      </c>
      <c r="B364" s="130" t="s">
        <v>480</v>
      </c>
      <c r="C364" s="176"/>
      <c r="D364" s="86">
        <v>206996</v>
      </c>
      <c r="E364" s="86">
        <v>10</v>
      </c>
      <c r="F364" s="78">
        <f t="shared" si="25"/>
        <v>51190</v>
      </c>
      <c r="G364" s="79">
        <f t="shared" si="26"/>
        <v>51380</v>
      </c>
      <c r="H364" s="80">
        <v>28187</v>
      </c>
      <c r="I364" s="81">
        <v>22461</v>
      </c>
      <c r="J364" s="80">
        <v>2641</v>
      </c>
      <c r="K364" s="81">
        <v>5102</v>
      </c>
      <c r="L364" s="80">
        <v>19328</v>
      </c>
      <c r="M364" s="80">
        <v>1034</v>
      </c>
      <c r="N364" s="80">
        <v>0</v>
      </c>
      <c r="O364" s="81">
        <v>21511</v>
      </c>
      <c r="P364" s="81">
        <v>2306</v>
      </c>
      <c r="Q364" s="81">
        <v>0</v>
      </c>
      <c r="R364" s="80"/>
      <c r="S364" s="81">
        <v>0</v>
      </c>
      <c r="T364" s="78">
        <f t="shared" si="27"/>
        <v>0</v>
      </c>
      <c r="U364" s="79">
        <f t="shared" si="24"/>
        <v>0</v>
      </c>
      <c r="V364" s="80"/>
      <c r="W364" s="81"/>
      <c r="X364" s="80"/>
      <c r="Y364" s="81"/>
      <c r="Z364" s="80"/>
      <c r="AA364" s="80"/>
      <c r="AB364" s="80"/>
      <c r="AC364" s="81"/>
      <c r="AD364" s="81"/>
      <c r="AE364" s="81"/>
      <c r="AF364" s="80"/>
      <c r="AG364" s="81"/>
    </row>
    <row r="365" spans="1:33">
      <c r="A365" s="129" t="s">
        <v>459</v>
      </c>
      <c r="B365" s="130" t="s">
        <v>481</v>
      </c>
      <c r="C365" s="176"/>
      <c r="D365" s="86">
        <v>207050</v>
      </c>
      <c r="E365" s="86">
        <v>10</v>
      </c>
      <c r="F365" s="78">
        <f t="shared" si="25"/>
        <v>34302</v>
      </c>
      <c r="G365" s="79">
        <f t="shared" si="26"/>
        <v>25541</v>
      </c>
      <c r="H365" s="80">
        <v>22978</v>
      </c>
      <c r="I365" s="81">
        <v>15730</v>
      </c>
      <c r="J365" s="80">
        <v>729</v>
      </c>
      <c r="K365" s="81">
        <v>309</v>
      </c>
      <c r="L365" s="80">
        <v>8710</v>
      </c>
      <c r="M365" s="80">
        <v>1870</v>
      </c>
      <c r="N365" s="80">
        <v>15</v>
      </c>
      <c r="O365" s="81">
        <v>8074</v>
      </c>
      <c r="P365" s="81">
        <v>1428</v>
      </c>
      <c r="Q365" s="81">
        <v>0</v>
      </c>
      <c r="R365" s="80"/>
      <c r="S365" s="81">
        <v>0</v>
      </c>
      <c r="T365" s="78">
        <f t="shared" si="27"/>
        <v>0</v>
      </c>
      <c r="U365" s="79">
        <f t="shared" si="24"/>
        <v>0</v>
      </c>
      <c r="V365" s="80"/>
      <c r="W365" s="81"/>
      <c r="X365" s="80"/>
      <c r="Y365" s="81"/>
      <c r="Z365" s="80"/>
      <c r="AA365" s="80"/>
      <c r="AB365" s="80"/>
      <c r="AC365" s="81"/>
      <c r="AD365" s="81"/>
      <c r="AE365" s="81"/>
      <c r="AF365" s="80"/>
      <c r="AG365" s="81"/>
    </row>
    <row r="366" spans="1:33">
      <c r="A366" s="129" t="s">
        <v>459</v>
      </c>
      <c r="B366" s="130" t="s">
        <v>482</v>
      </c>
      <c r="C366" s="176"/>
      <c r="D366" s="86">
        <v>207236</v>
      </c>
      <c r="E366" s="86">
        <v>10</v>
      </c>
      <c r="F366" s="78">
        <f t="shared" si="25"/>
        <v>47514</v>
      </c>
      <c r="G366" s="79">
        <f t="shared" si="26"/>
        <v>46100</v>
      </c>
      <c r="H366" s="80">
        <v>28755</v>
      </c>
      <c r="I366" s="81">
        <v>26710</v>
      </c>
      <c r="J366" s="80">
        <v>423</v>
      </c>
      <c r="K366" s="81">
        <v>498</v>
      </c>
      <c r="L366" s="80">
        <v>14864</v>
      </c>
      <c r="M366" s="80">
        <v>3386</v>
      </c>
      <c r="N366" s="80">
        <v>86</v>
      </c>
      <c r="O366" s="81">
        <v>15493</v>
      </c>
      <c r="P366" s="81">
        <v>3249</v>
      </c>
      <c r="Q366" s="81">
        <v>150</v>
      </c>
      <c r="R366" s="80"/>
      <c r="S366" s="81">
        <v>0</v>
      </c>
      <c r="T366" s="78">
        <f t="shared" si="27"/>
        <v>0</v>
      </c>
      <c r="U366" s="79">
        <f t="shared" si="24"/>
        <v>0</v>
      </c>
      <c r="V366" s="80"/>
      <c r="W366" s="81"/>
      <c r="X366" s="80"/>
      <c r="Y366" s="81"/>
      <c r="Z366" s="80"/>
      <c r="AA366" s="80"/>
      <c r="AB366" s="80"/>
      <c r="AC366" s="81"/>
      <c r="AD366" s="81"/>
      <c r="AE366" s="81"/>
      <c r="AF366" s="80"/>
      <c r="AG366" s="81"/>
    </row>
    <row r="367" spans="1:33">
      <c r="A367" s="129" t="s">
        <v>459</v>
      </c>
      <c r="B367" s="130" t="s">
        <v>483</v>
      </c>
      <c r="C367" s="176"/>
      <c r="D367" s="86">
        <v>207290</v>
      </c>
      <c r="E367" s="86">
        <v>10</v>
      </c>
      <c r="F367" s="78">
        <f t="shared" si="25"/>
        <v>52536</v>
      </c>
      <c r="G367" s="79">
        <f t="shared" si="26"/>
        <v>52849</v>
      </c>
      <c r="H367" s="80">
        <v>43710</v>
      </c>
      <c r="I367" s="81">
        <v>43341</v>
      </c>
      <c r="J367" s="80">
        <v>477</v>
      </c>
      <c r="K367" s="81">
        <v>0</v>
      </c>
      <c r="L367" s="80">
        <v>8034</v>
      </c>
      <c r="M367" s="80">
        <v>315</v>
      </c>
      <c r="N367" s="80">
        <v>0</v>
      </c>
      <c r="O367" s="81">
        <v>9265</v>
      </c>
      <c r="P367" s="81">
        <v>243</v>
      </c>
      <c r="Q367" s="81">
        <v>0</v>
      </c>
      <c r="R367" s="80"/>
      <c r="S367" s="81">
        <v>0</v>
      </c>
      <c r="T367" s="78">
        <f t="shared" si="27"/>
        <v>0</v>
      </c>
      <c r="U367" s="79">
        <f t="shared" si="24"/>
        <v>0</v>
      </c>
      <c r="V367" s="80"/>
      <c r="W367" s="81"/>
      <c r="X367" s="80"/>
      <c r="Y367" s="81"/>
      <c r="Z367" s="80"/>
      <c r="AA367" s="80"/>
      <c r="AB367" s="80"/>
      <c r="AC367" s="81"/>
      <c r="AD367" s="81"/>
      <c r="AE367" s="81"/>
      <c r="AF367" s="80"/>
      <c r="AG367" s="81"/>
    </row>
    <row r="368" spans="1:33">
      <c r="A368" s="129" t="s">
        <v>459</v>
      </c>
      <c r="B368" s="130" t="s">
        <v>484</v>
      </c>
      <c r="C368" s="176"/>
      <c r="D368" s="86">
        <v>207069</v>
      </c>
      <c r="E368" s="86">
        <v>10</v>
      </c>
      <c r="F368" s="78">
        <f t="shared" si="25"/>
        <v>39105</v>
      </c>
      <c r="G368" s="79">
        <f t="shared" si="26"/>
        <v>35551</v>
      </c>
      <c r="H368" s="80">
        <v>19575</v>
      </c>
      <c r="I368" s="81">
        <v>14838</v>
      </c>
      <c r="J368" s="80">
        <v>4612</v>
      </c>
      <c r="K368" s="81">
        <v>3342</v>
      </c>
      <c r="L368" s="80">
        <v>13262</v>
      </c>
      <c r="M368" s="80">
        <v>1656</v>
      </c>
      <c r="N368" s="80">
        <v>0</v>
      </c>
      <c r="O368" s="81">
        <v>16009</v>
      </c>
      <c r="P368" s="81">
        <v>1362</v>
      </c>
      <c r="Q368" s="81">
        <v>0</v>
      </c>
      <c r="R368" s="80"/>
      <c r="S368" s="81">
        <v>0</v>
      </c>
      <c r="T368" s="78">
        <f t="shared" si="27"/>
        <v>0</v>
      </c>
      <c r="U368" s="79">
        <f t="shared" si="24"/>
        <v>0</v>
      </c>
      <c r="V368" s="80"/>
      <c r="W368" s="81"/>
      <c r="X368" s="80"/>
      <c r="Y368" s="81"/>
      <c r="Z368" s="80"/>
      <c r="AA368" s="80"/>
      <c r="AB368" s="80"/>
      <c r="AC368" s="81"/>
      <c r="AD368" s="81"/>
      <c r="AE368" s="81"/>
      <c r="AF368" s="80"/>
      <c r="AG368" s="81"/>
    </row>
    <row r="369" spans="1:33">
      <c r="A369" s="129" t="s">
        <v>459</v>
      </c>
      <c r="B369" s="130" t="s">
        <v>485</v>
      </c>
      <c r="C369" s="176"/>
      <c r="D369" s="86">
        <v>207740</v>
      </c>
      <c r="E369" s="86">
        <v>10</v>
      </c>
      <c r="F369" s="78">
        <f t="shared" si="25"/>
        <v>38608</v>
      </c>
      <c r="G369" s="79">
        <f t="shared" si="26"/>
        <v>36115</v>
      </c>
      <c r="H369" s="80">
        <v>29569</v>
      </c>
      <c r="I369" s="81">
        <v>27871</v>
      </c>
      <c r="J369" s="80">
        <v>1651</v>
      </c>
      <c r="K369" s="81">
        <v>1075</v>
      </c>
      <c r="L369" s="80">
        <v>7094</v>
      </c>
      <c r="M369" s="80">
        <v>294</v>
      </c>
      <c r="N369" s="80">
        <v>0</v>
      </c>
      <c r="O369" s="81">
        <v>6776</v>
      </c>
      <c r="P369" s="81">
        <v>393</v>
      </c>
      <c r="Q369" s="81">
        <v>0</v>
      </c>
      <c r="R369" s="80"/>
      <c r="S369" s="81">
        <v>0</v>
      </c>
      <c r="T369" s="78">
        <f t="shared" si="27"/>
        <v>0</v>
      </c>
      <c r="U369" s="79">
        <f t="shared" si="24"/>
        <v>0</v>
      </c>
      <c r="V369" s="80"/>
      <c r="W369" s="81"/>
      <c r="X369" s="80"/>
      <c r="Y369" s="81"/>
      <c r="Z369" s="80"/>
      <c r="AA369" s="80"/>
      <c r="AB369" s="80"/>
      <c r="AC369" s="81"/>
      <c r="AD369" s="81"/>
      <c r="AE369" s="81"/>
      <c r="AF369" s="80"/>
      <c r="AG369" s="81"/>
    </row>
    <row r="370" spans="1:33">
      <c r="A370" s="129" t="s">
        <v>459</v>
      </c>
      <c r="B370" s="130" t="s">
        <v>486</v>
      </c>
      <c r="C370" s="176"/>
      <c r="D370" s="86">
        <v>208035</v>
      </c>
      <c r="E370" s="86">
        <v>10</v>
      </c>
      <c r="F370" s="78">
        <f t="shared" si="25"/>
        <v>28588</v>
      </c>
      <c r="G370" s="79">
        <f t="shared" si="26"/>
        <v>27561</v>
      </c>
      <c r="H370" s="80">
        <v>16882</v>
      </c>
      <c r="I370" s="81">
        <v>16433</v>
      </c>
      <c r="J370" s="80">
        <v>1077</v>
      </c>
      <c r="K370" s="81">
        <v>688</v>
      </c>
      <c r="L370" s="80">
        <v>9075</v>
      </c>
      <c r="M370" s="80">
        <v>1554</v>
      </c>
      <c r="N370" s="80">
        <v>0</v>
      </c>
      <c r="O370" s="81">
        <v>8631</v>
      </c>
      <c r="P370" s="81">
        <v>1809</v>
      </c>
      <c r="Q370" s="81">
        <v>0</v>
      </c>
      <c r="R370" s="80"/>
      <c r="S370" s="81">
        <v>0</v>
      </c>
      <c r="T370" s="78">
        <f t="shared" si="27"/>
        <v>0</v>
      </c>
      <c r="U370" s="79">
        <f t="shared" si="24"/>
        <v>0</v>
      </c>
      <c r="V370" s="80"/>
      <c r="W370" s="81"/>
      <c r="X370" s="80"/>
      <c r="Y370" s="81"/>
      <c r="Z370" s="80"/>
      <c r="AA370" s="80"/>
      <c r="AB370" s="80"/>
      <c r="AC370" s="81"/>
      <c r="AD370" s="81"/>
      <c r="AE370" s="81"/>
      <c r="AF370" s="80"/>
      <c r="AG370" s="81"/>
    </row>
    <row r="371" spans="1:33" customFormat="1" ht="15">
      <c r="A371" s="180" t="s">
        <v>459</v>
      </c>
      <c r="B371" s="181" t="s">
        <v>487</v>
      </c>
      <c r="C371" s="7"/>
      <c r="D371" s="182">
        <v>365374</v>
      </c>
      <c r="E371" s="182">
        <v>12</v>
      </c>
    </row>
    <row r="372" spans="1:33" s="44" customFormat="1" ht="13.5" customHeight="1">
      <c r="A372" s="184" t="s">
        <v>489</v>
      </c>
      <c r="B372" s="185" t="s">
        <v>490</v>
      </c>
      <c r="C372" s="186"/>
      <c r="D372" s="187">
        <v>217882</v>
      </c>
      <c r="E372" s="187">
        <v>1</v>
      </c>
      <c r="F372" s="78">
        <f t="shared" ref="F372:F435" si="28">SUM(H372,J372,L372,M372,N372,R372)</f>
        <v>577497</v>
      </c>
      <c r="G372" s="79">
        <f t="shared" ref="G372:G435" si="29">SUM(I372,K372,O372,P372,Q372,S372)</f>
        <v>589493</v>
      </c>
      <c r="H372" s="80">
        <v>522723</v>
      </c>
      <c r="I372" s="81">
        <v>527601</v>
      </c>
      <c r="J372" s="80">
        <v>12054</v>
      </c>
      <c r="K372" s="81">
        <v>10460</v>
      </c>
      <c r="L372" s="80">
        <v>42720</v>
      </c>
      <c r="M372" s="80"/>
      <c r="N372" s="80"/>
      <c r="O372" s="81">
        <v>51432</v>
      </c>
      <c r="P372" s="81"/>
      <c r="Q372" s="81"/>
      <c r="R372" s="80"/>
      <c r="S372" s="81"/>
      <c r="T372" s="78">
        <f t="shared" ref="T372:T435" si="30">SUM(V372,X372,Z372,AA372,AB372,AF372)</f>
        <v>93125</v>
      </c>
      <c r="U372" s="79">
        <f t="shared" ref="U372:U435" si="31">SUM(W372,Y372,AC372,AD372,AE372,AG372)</f>
        <v>89753</v>
      </c>
      <c r="V372" s="80">
        <v>51134</v>
      </c>
      <c r="W372" s="81">
        <v>45884</v>
      </c>
      <c r="X372" s="80">
        <v>27911</v>
      </c>
      <c r="Y372" s="81">
        <v>28398</v>
      </c>
      <c r="Z372" s="80">
        <v>14080</v>
      </c>
      <c r="AA372" s="80"/>
      <c r="AB372" s="80"/>
      <c r="AC372" s="81">
        <v>15471</v>
      </c>
      <c r="AD372" s="81"/>
      <c r="AE372" s="81"/>
      <c r="AF372" s="80"/>
      <c r="AG372" s="81"/>
    </row>
    <row r="373" spans="1:33">
      <c r="A373" s="184" t="s">
        <v>489</v>
      </c>
      <c r="B373" s="185" t="s">
        <v>491</v>
      </c>
      <c r="C373" s="186"/>
      <c r="D373" s="187">
        <v>218663</v>
      </c>
      <c r="E373" s="187">
        <v>1</v>
      </c>
      <c r="F373" s="78">
        <f t="shared" si="28"/>
        <v>760232</v>
      </c>
      <c r="G373" s="79">
        <f t="shared" si="29"/>
        <v>778537</v>
      </c>
      <c r="H373" s="80">
        <v>707798</v>
      </c>
      <c r="I373" s="81">
        <v>710187</v>
      </c>
      <c r="J373" s="80"/>
      <c r="K373" s="81"/>
      <c r="L373" s="80">
        <v>52434</v>
      </c>
      <c r="M373" s="80"/>
      <c r="N373" s="80"/>
      <c r="O373" s="81">
        <v>68338</v>
      </c>
      <c r="P373" s="81">
        <v>12</v>
      </c>
      <c r="Q373" s="81"/>
      <c r="R373" s="80"/>
      <c r="S373" s="81"/>
      <c r="T373" s="78">
        <f t="shared" si="30"/>
        <v>179578</v>
      </c>
      <c r="U373" s="79">
        <f t="shared" si="31"/>
        <v>183423</v>
      </c>
      <c r="V373" s="80">
        <v>133311</v>
      </c>
      <c r="W373" s="81">
        <v>140202</v>
      </c>
      <c r="X373" s="80"/>
      <c r="Y373" s="81"/>
      <c r="Z373" s="80">
        <v>37883</v>
      </c>
      <c r="AA373" s="80">
        <v>8198</v>
      </c>
      <c r="AB373" s="80">
        <v>186</v>
      </c>
      <c r="AC373" s="81">
        <v>37473</v>
      </c>
      <c r="AD373" s="81">
        <v>5748</v>
      </c>
      <c r="AE373" s="81"/>
      <c r="AF373" s="80"/>
      <c r="AG373" s="81"/>
    </row>
    <row r="374" spans="1:33">
      <c r="A374" s="184" t="s">
        <v>489</v>
      </c>
      <c r="B374" s="185" t="s">
        <v>492</v>
      </c>
      <c r="C374" s="186"/>
      <c r="D374" s="187">
        <v>217819</v>
      </c>
      <c r="E374" s="187">
        <v>3</v>
      </c>
      <c r="F374" s="78">
        <f t="shared" si="28"/>
        <v>302309</v>
      </c>
      <c r="G374" s="79">
        <f t="shared" si="29"/>
        <v>298165</v>
      </c>
      <c r="H374" s="80">
        <v>285154</v>
      </c>
      <c r="I374" s="81">
        <v>275483</v>
      </c>
      <c r="J374" s="80">
        <v>4407</v>
      </c>
      <c r="K374" s="81">
        <v>4017</v>
      </c>
      <c r="L374" s="80">
        <v>12748</v>
      </c>
      <c r="M374" s="80"/>
      <c r="N374" s="80"/>
      <c r="O374" s="81">
        <v>18665</v>
      </c>
      <c r="P374" s="81"/>
      <c r="Q374" s="81"/>
      <c r="R374" s="80"/>
      <c r="S374" s="81"/>
      <c r="T374" s="78">
        <f t="shared" si="30"/>
        <v>14412</v>
      </c>
      <c r="U374" s="79">
        <f t="shared" si="31"/>
        <v>13834</v>
      </c>
      <c r="V374" s="80">
        <v>8278</v>
      </c>
      <c r="W374" s="81">
        <v>7132</v>
      </c>
      <c r="X374" s="80">
        <v>3468</v>
      </c>
      <c r="Y374" s="81">
        <v>2867</v>
      </c>
      <c r="Z374" s="80">
        <v>2666</v>
      </c>
      <c r="AA374" s="80"/>
      <c r="AB374" s="80"/>
      <c r="AC374" s="81">
        <v>3835</v>
      </c>
      <c r="AD374" s="81"/>
      <c r="AE374" s="81"/>
      <c r="AF374" s="80"/>
      <c r="AG374" s="81"/>
    </row>
    <row r="375" spans="1:33">
      <c r="A375" s="184" t="s">
        <v>489</v>
      </c>
      <c r="B375" s="185" t="s">
        <v>493</v>
      </c>
      <c r="C375" s="145"/>
      <c r="D375" s="187">
        <v>217864</v>
      </c>
      <c r="E375" s="146">
        <v>3</v>
      </c>
      <c r="F375" s="78">
        <f t="shared" si="28"/>
        <v>95795</v>
      </c>
      <c r="G375" s="79">
        <f t="shared" si="29"/>
        <v>96854</v>
      </c>
      <c r="H375" s="80">
        <v>92451</v>
      </c>
      <c r="I375" s="81">
        <v>92772</v>
      </c>
      <c r="J375" s="80">
        <v>180</v>
      </c>
      <c r="K375" s="81"/>
      <c r="L375" s="80">
        <v>3164</v>
      </c>
      <c r="M375" s="80"/>
      <c r="N375" s="80"/>
      <c r="O375" s="81">
        <v>4082</v>
      </c>
      <c r="P375" s="81"/>
      <c r="Q375" s="81"/>
      <c r="R375" s="80"/>
      <c r="S375" s="81"/>
      <c r="T375" s="78">
        <f t="shared" si="30"/>
        <v>13735</v>
      </c>
      <c r="U375" s="79">
        <f t="shared" si="31"/>
        <v>15084</v>
      </c>
      <c r="V375" s="80">
        <v>8790</v>
      </c>
      <c r="W375" s="81">
        <v>7781</v>
      </c>
      <c r="X375" s="80">
        <v>1767</v>
      </c>
      <c r="Y375" s="81">
        <v>1665</v>
      </c>
      <c r="Z375" s="80">
        <v>3178</v>
      </c>
      <c r="AA375" s="80"/>
      <c r="AB375" s="80"/>
      <c r="AC375" s="81">
        <v>5638</v>
      </c>
      <c r="AD375" s="81"/>
      <c r="AE375" s="81"/>
      <c r="AF375" s="80"/>
      <c r="AG375" s="81"/>
    </row>
    <row r="376" spans="1:33">
      <c r="A376" s="184" t="s">
        <v>489</v>
      </c>
      <c r="B376" s="185" t="s">
        <v>494</v>
      </c>
      <c r="C376" s="186"/>
      <c r="D376" s="187">
        <v>218964</v>
      </c>
      <c r="E376" s="187">
        <v>3</v>
      </c>
      <c r="F376" s="78">
        <f t="shared" si="28"/>
        <v>137771</v>
      </c>
      <c r="G376" s="79">
        <f t="shared" si="29"/>
        <v>147023</v>
      </c>
      <c r="H376" s="80">
        <v>125437</v>
      </c>
      <c r="I376" s="81">
        <v>129573</v>
      </c>
      <c r="J376" s="80">
        <v>1699</v>
      </c>
      <c r="K376" s="81">
        <v>2719</v>
      </c>
      <c r="L376" s="80">
        <v>10635</v>
      </c>
      <c r="M376" s="80"/>
      <c r="N376" s="80"/>
      <c r="O376" s="81">
        <v>14731</v>
      </c>
      <c r="P376" s="81"/>
      <c r="Q376" s="81"/>
      <c r="R376" s="80"/>
      <c r="S376" s="81"/>
      <c r="T376" s="78">
        <f t="shared" si="30"/>
        <v>23142</v>
      </c>
      <c r="U376" s="79">
        <f t="shared" si="31"/>
        <v>13607</v>
      </c>
      <c r="V376" s="80">
        <v>20269</v>
      </c>
      <c r="W376" s="81">
        <v>10383</v>
      </c>
      <c r="X376" s="80">
        <v>1714</v>
      </c>
      <c r="Y376" s="81">
        <v>1403</v>
      </c>
      <c r="Z376" s="80">
        <v>1159</v>
      </c>
      <c r="AA376" s="80"/>
      <c r="AB376" s="80"/>
      <c r="AC376" s="81">
        <v>1821</v>
      </c>
      <c r="AD376" s="81"/>
      <c r="AE376" s="81"/>
      <c r="AF376" s="80"/>
      <c r="AG376" s="81"/>
    </row>
    <row r="377" spans="1:33" s="44" customFormat="1" ht="15" customHeight="1">
      <c r="A377" s="184" t="s">
        <v>489</v>
      </c>
      <c r="B377" s="185" t="s">
        <v>495</v>
      </c>
      <c r="C377" s="188" t="s">
        <v>522</v>
      </c>
      <c r="D377" s="187">
        <v>218724</v>
      </c>
      <c r="E377" s="141">
        <v>5</v>
      </c>
      <c r="F377" s="78">
        <f t="shared" si="28"/>
        <v>286821</v>
      </c>
      <c r="G377" s="79">
        <f t="shared" si="29"/>
        <v>290577</v>
      </c>
      <c r="H377" s="80">
        <v>245628</v>
      </c>
      <c r="I377" s="81">
        <v>244617</v>
      </c>
      <c r="J377" s="80">
        <v>2035</v>
      </c>
      <c r="K377" s="81">
        <v>2493</v>
      </c>
      <c r="L377" s="80">
        <v>39158</v>
      </c>
      <c r="M377" s="80"/>
      <c r="N377" s="80"/>
      <c r="O377" s="81">
        <v>43467</v>
      </c>
      <c r="P377" s="81"/>
      <c r="Q377" s="81"/>
      <c r="R377" s="80"/>
      <c r="S377" s="81"/>
      <c r="T377" s="78">
        <f t="shared" si="30"/>
        <v>13699</v>
      </c>
      <c r="U377" s="79">
        <f t="shared" si="31"/>
        <v>14068</v>
      </c>
      <c r="V377" s="80">
        <v>5322</v>
      </c>
      <c r="W377" s="81">
        <v>5145</v>
      </c>
      <c r="X377" s="80">
        <v>1153</v>
      </c>
      <c r="Y377" s="81">
        <v>1365</v>
      </c>
      <c r="Z377" s="80">
        <v>7224</v>
      </c>
      <c r="AA377" s="80"/>
      <c r="AB377" s="80"/>
      <c r="AC377" s="81">
        <v>7558</v>
      </c>
      <c r="AD377" s="81"/>
      <c r="AE377" s="81"/>
      <c r="AF377" s="80"/>
      <c r="AG377" s="81"/>
    </row>
    <row r="378" spans="1:33" s="44" customFormat="1" ht="15" customHeight="1">
      <c r="A378" s="184" t="s">
        <v>489</v>
      </c>
      <c r="B378" s="185" t="s">
        <v>496</v>
      </c>
      <c r="C378" s="188"/>
      <c r="D378" s="187">
        <v>218061</v>
      </c>
      <c r="E378" s="141">
        <v>5</v>
      </c>
      <c r="F378" s="78">
        <f t="shared" si="28"/>
        <v>95137</v>
      </c>
      <c r="G378" s="79">
        <f t="shared" si="29"/>
        <v>92919</v>
      </c>
      <c r="H378" s="80">
        <v>93924</v>
      </c>
      <c r="I378" s="81">
        <v>89052</v>
      </c>
      <c r="J378" s="80">
        <v>166</v>
      </c>
      <c r="K378" s="81">
        <v>81</v>
      </c>
      <c r="L378" s="80">
        <v>1047</v>
      </c>
      <c r="M378" s="80"/>
      <c r="N378" s="80"/>
      <c r="O378" s="81">
        <v>3786</v>
      </c>
      <c r="P378" s="81"/>
      <c r="Q378" s="81"/>
      <c r="R378" s="80"/>
      <c r="S378" s="81"/>
      <c r="T378" s="78">
        <f t="shared" si="30"/>
        <v>6518</v>
      </c>
      <c r="U378" s="79">
        <f t="shared" si="31"/>
        <v>5669</v>
      </c>
      <c r="V378" s="80">
        <v>5288</v>
      </c>
      <c r="W378" s="81">
        <v>3857</v>
      </c>
      <c r="X378" s="80">
        <v>147</v>
      </c>
      <c r="Y378" s="81"/>
      <c r="Z378" s="80">
        <v>1083</v>
      </c>
      <c r="AA378" s="80"/>
      <c r="AB378" s="80"/>
      <c r="AC378" s="81">
        <v>1812</v>
      </c>
      <c r="AD378" s="81"/>
      <c r="AE378" s="81"/>
      <c r="AF378" s="80"/>
      <c r="AG378" s="81"/>
    </row>
    <row r="379" spans="1:33" s="44" customFormat="1" ht="15" customHeight="1">
      <c r="A379" s="184" t="s">
        <v>489</v>
      </c>
      <c r="B379" s="185" t="s">
        <v>497</v>
      </c>
      <c r="C379" s="188"/>
      <c r="D379" s="187">
        <v>218733</v>
      </c>
      <c r="E379" s="141">
        <v>5</v>
      </c>
      <c r="F379" s="78">
        <f t="shared" si="28"/>
        <v>70053</v>
      </c>
      <c r="G379" s="79">
        <f t="shared" si="29"/>
        <v>69861</v>
      </c>
      <c r="H379" s="80">
        <v>64602</v>
      </c>
      <c r="I379" s="81">
        <v>64107</v>
      </c>
      <c r="J379" s="80"/>
      <c r="K379" s="81"/>
      <c r="L379" s="80">
        <v>5451</v>
      </c>
      <c r="M379" s="80"/>
      <c r="N379" s="80"/>
      <c r="O379" s="81">
        <v>5736</v>
      </c>
      <c r="P379" s="81"/>
      <c r="Q379" s="81">
        <v>18</v>
      </c>
      <c r="R379" s="80"/>
      <c r="S379" s="81"/>
      <c r="T379" s="78">
        <f t="shared" si="30"/>
        <v>6734</v>
      </c>
      <c r="U379" s="79">
        <f t="shared" si="31"/>
        <v>7234</v>
      </c>
      <c r="V379" s="80">
        <v>5663</v>
      </c>
      <c r="W379" s="81">
        <v>6367</v>
      </c>
      <c r="X379" s="80"/>
      <c r="Y379" s="81"/>
      <c r="Z379" s="80">
        <v>1071</v>
      </c>
      <c r="AA379" s="80"/>
      <c r="AB379" s="80"/>
      <c r="AC379" s="81">
        <v>867</v>
      </c>
      <c r="AD379" s="81"/>
      <c r="AE379" s="81"/>
      <c r="AF379" s="80"/>
      <c r="AG379" s="81"/>
    </row>
    <row r="380" spans="1:33" s="44" customFormat="1" ht="15" customHeight="1">
      <c r="A380" s="184" t="s">
        <v>489</v>
      </c>
      <c r="B380" s="185" t="s">
        <v>498</v>
      </c>
      <c r="C380" s="188"/>
      <c r="D380" s="187">
        <v>218229</v>
      </c>
      <c r="E380" s="141">
        <v>6</v>
      </c>
      <c r="F380" s="78">
        <f t="shared" si="28"/>
        <v>76739.5</v>
      </c>
      <c r="G380" s="79">
        <f t="shared" si="29"/>
        <v>79040</v>
      </c>
      <c r="H380" s="80">
        <v>70507.5</v>
      </c>
      <c r="I380" s="81">
        <v>72813</v>
      </c>
      <c r="J380" s="80">
        <v>312</v>
      </c>
      <c r="K380" s="81">
        <v>33</v>
      </c>
      <c r="L380" s="80">
        <v>5920</v>
      </c>
      <c r="M380" s="80"/>
      <c r="N380" s="80"/>
      <c r="O380" s="81">
        <v>6194</v>
      </c>
      <c r="P380" s="81"/>
      <c r="Q380" s="81"/>
      <c r="R380" s="80"/>
      <c r="S380" s="81"/>
      <c r="T380" s="78">
        <f t="shared" si="30"/>
        <v>883</v>
      </c>
      <c r="U380" s="79">
        <f t="shared" si="31"/>
        <v>1121</v>
      </c>
      <c r="V380" s="80">
        <v>333</v>
      </c>
      <c r="W380" s="81">
        <v>378</v>
      </c>
      <c r="X380" s="80"/>
      <c r="Y380" s="81"/>
      <c r="Z380" s="80">
        <v>550</v>
      </c>
      <c r="AA380" s="80"/>
      <c r="AB380" s="80"/>
      <c r="AC380" s="81">
        <v>743</v>
      </c>
      <c r="AD380" s="81"/>
      <c r="AE380" s="81"/>
      <c r="AF380" s="80"/>
      <c r="AG380" s="81"/>
    </row>
    <row r="381" spans="1:33" s="44" customFormat="1" ht="15" customHeight="1">
      <c r="A381" s="184" t="s">
        <v>489</v>
      </c>
      <c r="B381" s="185" t="s">
        <v>499</v>
      </c>
      <c r="C381" s="188"/>
      <c r="D381" s="187">
        <v>218645</v>
      </c>
      <c r="E381" s="141">
        <v>6</v>
      </c>
      <c r="F381" s="78">
        <f t="shared" si="28"/>
        <v>90041</v>
      </c>
      <c r="G381" s="79">
        <f t="shared" si="29"/>
        <v>89565</v>
      </c>
      <c r="H381" s="80">
        <v>75809</v>
      </c>
      <c r="I381" s="81">
        <v>74843</v>
      </c>
      <c r="J381" s="80"/>
      <c r="K381" s="81"/>
      <c r="L381" s="80">
        <v>14232</v>
      </c>
      <c r="M381" s="80"/>
      <c r="N381" s="80"/>
      <c r="O381" s="81">
        <v>14722</v>
      </c>
      <c r="P381" s="81"/>
      <c r="Q381" s="81"/>
      <c r="R381" s="80"/>
      <c r="S381" s="81"/>
      <c r="T381" s="78">
        <f t="shared" si="30"/>
        <v>3271</v>
      </c>
      <c r="U381" s="79">
        <f t="shared" si="31"/>
        <v>2788</v>
      </c>
      <c r="V381" s="80">
        <v>1114</v>
      </c>
      <c r="W381" s="81">
        <v>937</v>
      </c>
      <c r="X381" s="80"/>
      <c r="Y381" s="81"/>
      <c r="Z381" s="80">
        <v>2157</v>
      </c>
      <c r="AA381" s="80"/>
      <c r="AB381" s="80"/>
      <c r="AC381" s="81">
        <v>1851</v>
      </c>
      <c r="AD381" s="81"/>
      <c r="AE381" s="81"/>
      <c r="AF381" s="80"/>
      <c r="AG381" s="81"/>
    </row>
    <row r="382" spans="1:33" s="44" customFormat="1" ht="15" customHeight="1">
      <c r="A382" s="184" t="s">
        <v>489</v>
      </c>
      <c r="B382" s="147" t="s">
        <v>500</v>
      </c>
      <c r="C382" s="188"/>
      <c r="D382" s="187">
        <v>218654</v>
      </c>
      <c r="E382" s="141">
        <v>6</v>
      </c>
      <c r="F382" s="78">
        <f t="shared" si="28"/>
        <v>54309</v>
      </c>
      <c r="G382" s="79">
        <f t="shared" si="29"/>
        <v>57050</v>
      </c>
      <c r="H382" s="80">
        <v>48930</v>
      </c>
      <c r="I382" s="81">
        <v>47782</v>
      </c>
      <c r="J382" s="80"/>
      <c r="K382" s="81"/>
      <c r="L382" s="80">
        <v>5379</v>
      </c>
      <c r="M382" s="80"/>
      <c r="N382" s="80"/>
      <c r="O382" s="81">
        <v>9268</v>
      </c>
      <c r="P382" s="81"/>
      <c r="Q382" s="81"/>
      <c r="R382" s="80"/>
      <c r="S382" s="81"/>
      <c r="T382" s="78">
        <f t="shared" si="30"/>
        <v>0</v>
      </c>
      <c r="U382" s="79">
        <f t="shared" si="31"/>
        <v>0</v>
      </c>
      <c r="V382" s="80"/>
      <c r="W382" s="81"/>
      <c r="X382" s="80"/>
      <c r="Y382" s="81"/>
      <c r="Z382" s="80"/>
      <c r="AA382" s="80"/>
      <c r="AB382" s="80"/>
      <c r="AC382" s="81"/>
      <c r="AD382" s="81"/>
      <c r="AE382" s="81"/>
      <c r="AF382" s="80"/>
      <c r="AG382" s="81"/>
    </row>
    <row r="383" spans="1:33" s="44" customFormat="1" ht="15" customHeight="1">
      <c r="A383" s="184" t="s">
        <v>489</v>
      </c>
      <c r="B383" s="185" t="s">
        <v>501</v>
      </c>
      <c r="C383" s="188"/>
      <c r="D383" s="187">
        <v>218742</v>
      </c>
      <c r="E383" s="141">
        <v>6</v>
      </c>
      <c r="F383" s="78">
        <f t="shared" si="28"/>
        <v>148958</v>
      </c>
      <c r="G383" s="79">
        <f t="shared" si="29"/>
        <v>152226</v>
      </c>
      <c r="H383" s="80">
        <v>128269</v>
      </c>
      <c r="I383" s="81">
        <v>127117</v>
      </c>
      <c r="J383" s="80"/>
      <c r="K383" s="81"/>
      <c r="L383" s="80">
        <v>20689</v>
      </c>
      <c r="M383" s="80"/>
      <c r="N383" s="80"/>
      <c r="O383" s="81">
        <v>25109</v>
      </c>
      <c r="P383" s="81"/>
      <c r="Q383" s="81"/>
      <c r="R383" s="80"/>
      <c r="S383" s="81"/>
      <c r="T383" s="78">
        <f t="shared" si="30"/>
        <v>3231</v>
      </c>
      <c r="U383" s="79">
        <f t="shared" si="31"/>
        <v>2596</v>
      </c>
      <c r="V383" s="80">
        <v>731</v>
      </c>
      <c r="W383" s="81">
        <v>954</v>
      </c>
      <c r="X383" s="80"/>
      <c r="Y383" s="81"/>
      <c r="Z383" s="80">
        <v>2500</v>
      </c>
      <c r="AA383" s="80"/>
      <c r="AB383" s="80"/>
      <c r="AC383" s="81">
        <v>1642</v>
      </c>
      <c r="AD383" s="81"/>
      <c r="AE383" s="81"/>
      <c r="AF383" s="80"/>
      <c r="AG383" s="81"/>
    </row>
    <row r="384" spans="1:33" s="44" customFormat="1" ht="15" customHeight="1">
      <c r="A384" s="184" t="s">
        <v>489</v>
      </c>
      <c r="B384" s="151" t="s">
        <v>502</v>
      </c>
      <c r="C384" s="190" t="s">
        <v>523</v>
      </c>
      <c r="D384" s="187">
        <v>218025</v>
      </c>
      <c r="E384" s="192">
        <v>9</v>
      </c>
      <c r="F384" s="78">
        <f t="shared" si="28"/>
        <v>123082</v>
      </c>
      <c r="G384" s="79">
        <f t="shared" si="29"/>
        <v>101226</v>
      </c>
      <c r="H384" s="80">
        <v>28355</v>
      </c>
      <c r="I384" s="81">
        <v>26736</v>
      </c>
      <c r="J384" s="80">
        <v>12845</v>
      </c>
      <c r="K384" s="81">
        <v>13229</v>
      </c>
      <c r="L384" s="80">
        <v>76688</v>
      </c>
      <c r="M384" s="80">
        <v>5194</v>
      </c>
      <c r="N384" s="80"/>
      <c r="O384" s="81">
        <v>53060</v>
      </c>
      <c r="P384" s="81">
        <v>8201</v>
      </c>
      <c r="Q384" s="81"/>
      <c r="R384" s="80"/>
      <c r="S384" s="81"/>
      <c r="T384" s="78">
        <f t="shared" si="30"/>
        <v>0</v>
      </c>
      <c r="U384" s="79">
        <f t="shared" si="31"/>
        <v>0</v>
      </c>
      <c r="V384" s="80"/>
      <c r="W384" s="81"/>
      <c r="X384" s="80"/>
      <c r="Y384" s="81"/>
      <c r="Z384" s="80"/>
      <c r="AA384" s="80"/>
      <c r="AB384" s="80"/>
      <c r="AC384" s="81"/>
      <c r="AD384" s="81"/>
      <c r="AE384" s="81"/>
      <c r="AF384" s="80"/>
      <c r="AG384" s="81"/>
    </row>
    <row r="385" spans="1:33" s="44" customFormat="1" ht="15" customHeight="1">
      <c r="A385" s="184" t="s">
        <v>489</v>
      </c>
      <c r="B385" s="185" t="s">
        <v>503</v>
      </c>
      <c r="C385" s="191"/>
      <c r="D385" s="187">
        <v>218113</v>
      </c>
      <c r="E385" s="150">
        <v>8</v>
      </c>
      <c r="F385" s="78">
        <f t="shared" si="28"/>
        <v>241690</v>
      </c>
      <c r="G385" s="79">
        <f t="shared" si="29"/>
        <v>241012</v>
      </c>
      <c r="H385" s="80">
        <v>157934</v>
      </c>
      <c r="I385" s="81">
        <v>153046</v>
      </c>
      <c r="J385" s="80">
        <v>16459</v>
      </c>
      <c r="K385" s="81">
        <v>14817</v>
      </c>
      <c r="L385" s="80">
        <v>67297</v>
      </c>
      <c r="M385" s="80"/>
      <c r="N385" s="80"/>
      <c r="O385" s="81">
        <v>73149</v>
      </c>
      <c r="P385" s="81"/>
      <c r="Q385" s="81"/>
      <c r="R385" s="80"/>
      <c r="S385" s="81"/>
      <c r="T385" s="78">
        <f t="shared" si="30"/>
        <v>0</v>
      </c>
      <c r="U385" s="79">
        <f t="shared" si="31"/>
        <v>0</v>
      </c>
      <c r="V385" s="80"/>
      <c r="W385" s="81"/>
      <c r="X385" s="80"/>
      <c r="Y385" s="81"/>
      <c r="Z385" s="80"/>
      <c r="AA385" s="80"/>
      <c r="AB385" s="80"/>
      <c r="AC385" s="81"/>
      <c r="AD385" s="81"/>
      <c r="AE385" s="81"/>
      <c r="AF385" s="80"/>
      <c r="AG385" s="81"/>
    </row>
    <row r="386" spans="1:33" s="44" customFormat="1" ht="15" customHeight="1">
      <c r="A386" s="184" t="s">
        <v>489</v>
      </c>
      <c r="B386" s="151" t="s">
        <v>504</v>
      </c>
      <c r="C386" s="191"/>
      <c r="D386" s="187">
        <v>218140</v>
      </c>
      <c r="E386" s="150">
        <v>8</v>
      </c>
      <c r="F386" s="78">
        <f t="shared" si="28"/>
        <v>157545</v>
      </c>
      <c r="G386" s="79">
        <f t="shared" si="29"/>
        <v>154156</v>
      </c>
      <c r="H386" s="80">
        <v>100135</v>
      </c>
      <c r="I386" s="81">
        <v>97792</v>
      </c>
      <c r="J386" s="80">
        <v>8588</v>
      </c>
      <c r="K386" s="81">
        <v>7416</v>
      </c>
      <c r="L386" s="80">
        <v>48822</v>
      </c>
      <c r="M386" s="80"/>
      <c r="N386" s="80"/>
      <c r="O386" s="81">
        <v>48948</v>
      </c>
      <c r="P386" s="81"/>
      <c r="Q386" s="81"/>
      <c r="R386" s="80"/>
      <c r="S386" s="81"/>
      <c r="T386" s="78">
        <f t="shared" si="30"/>
        <v>0</v>
      </c>
      <c r="U386" s="79">
        <f t="shared" si="31"/>
        <v>0</v>
      </c>
      <c r="V386" s="80"/>
      <c r="W386" s="81"/>
      <c r="X386" s="80"/>
      <c r="Y386" s="81"/>
      <c r="Z386" s="80"/>
      <c r="AA386" s="80"/>
      <c r="AB386" s="80"/>
      <c r="AC386" s="81"/>
      <c r="AD386" s="81"/>
      <c r="AE386" s="81"/>
      <c r="AF386" s="80"/>
      <c r="AG386" s="81"/>
    </row>
    <row r="387" spans="1:33" s="44" customFormat="1" ht="15" customHeight="1">
      <c r="A387" s="184" t="s">
        <v>489</v>
      </c>
      <c r="B387" s="185" t="s">
        <v>505</v>
      </c>
      <c r="C387" s="191"/>
      <c r="D387" s="187">
        <v>218353</v>
      </c>
      <c r="E387" s="150">
        <v>8</v>
      </c>
      <c r="F387" s="78">
        <f t="shared" si="28"/>
        <v>240176</v>
      </c>
      <c r="G387" s="79">
        <f t="shared" si="29"/>
        <v>224725</v>
      </c>
      <c r="H387" s="80">
        <v>172115</v>
      </c>
      <c r="I387" s="81">
        <v>153789</v>
      </c>
      <c r="J387" s="80">
        <v>16252</v>
      </c>
      <c r="K387" s="81">
        <v>15311</v>
      </c>
      <c r="L387" s="80">
        <v>51809</v>
      </c>
      <c r="M387" s="80"/>
      <c r="N387" s="80"/>
      <c r="O387" s="81">
        <v>55625</v>
      </c>
      <c r="P387" s="81"/>
      <c r="Q387" s="81"/>
      <c r="R387" s="80"/>
      <c r="S387" s="81"/>
      <c r="T387" s="78">
        <f t="shared" si="30"/>
        <v>0</v>
      </c>
      <c r="U387" s="79">
        <f t="shared" si="31"/>
        <v>0</v>
      </c>
      <c r="V387" s="80"/>
      <c r="W387" s="81"/>
      <c r="X387" s="80"/>
      <c r="Y387" s="81"/>
      <c r="Z387" s="80"/>
      <c r="AA387" s="80"/>
      <c r="AB387" s="80"/>
      <c r="AC387" s="81"/>
      <c r="AD387" s="81"/>
      <c r="AE387" s="81"/>
      <c r="AF387" s="80"/>
      <c r="AG387" s="81"/>
    </row>
    <row r="388" spans="1:33" s="44" customFormat="1" ht="15" customHeight="1">
      <c r="A388" s="184" t="s">
        <v>489</v>
      </c>
      <c r="B388" s="151" t="s">
        <v>506</v>
      </c>
      <c r="C388" s="190"/>
      <c r="D388" s="187">
        <v>218520</v>
      </c>
      <c r="E388" s="150">
        <v>9</v>
      </c>
      <c r="F388" s="78">
        <f t="shared" si="28"/>
        <v>107721</v>
      </c>
      <c r="G388" s="79">
        <f t="shared" si="29"/>
        <v>101214</v>
      </c>
      <c r="H388" s="80">
        <v>47105</v>
      </c>
      <c r="I388" s="81">
        <v>42513</v>
      </c>
      <c r="J388" s="80">
        <v>10797</v>
      </c>
      <c r="K388" s="81">
        <v>10335</v>
      </c>
      <c r="L388" s="80">
        <v>43704</v>
      </c>
      <c r="M388" s="80">
        <v>6115</v>
      </c>
      <c r="N388" s="80"/>
      <c r="O388" s="81">
        <v>41992</v>
      </c>
      <c r="P388" s="81">
        <v>6374</v>
      </c>
      <c r="Q388" s="81"/>
      <c r="R388" s="80"/>
      <c r="S388" s="81"/>
      <c r="T388" s="78">
        <f t="shared" si="30"/>
        <v>0</v>
      </c>
      <c r="U388" s="79">
        <f t="shared" si="31"/>
        <v>0</v>
      </c>
      <c r="V388" s="80"/>
      <c r="W388" s="81"/>
      <c r="X388" s="80"/>
      <c r="Y388" s="81"/>
      <c r="Z388" s="80"/>
      <c r="AA388" s="80"/>
      <c r="AB388" s="80"/>
      <c r="AC388" s="81"/>
      <c r="AD388" s="81"/>
      <c r="AE388" s="81"/>
      <c r="AF388" s="80"/>
      <c r="AG388" s="81"/>
    </row>
    <row r="389" spans="1:33" s="44" customFormat="1" ht="15" customHeight="1">
      <c r="A389" s="184" t="s">
        <v>489</v>
      </c>
      <c r="B389" s="151" t="s">
        <v>507</v>
      </c>
      <c r="C389" s="191" t="s">
        <v>458</v>
      </c>
      <c r="D389" s="187">
        <v>218885</v>
      </c>
      <c r="E389" s="150">
        <v>8</v>
      </c>
      <c r="F389" s="78">
        <f t="shared" si="28"/>
        <v>145685</v>
      </c>
      <c r="G389" s="79">
        <f t="shared" si="29"/>
        <v>144617</v>
      </c>
      <c r="H389" s="80">
        <v>107182</v>
      </c>
      <c r="I389" s="81">
        <v>103512</v>
      </c>
      <c r="J389" s="80">
        <v>6003</v>
      </c>
      <c r="K389" s="81">
        <v>6089</v>
      </c>
      <c r="L389" s="80">
        <v>32500</v>
      </c>
      <c r="M389" s="80"/>
      <c r="N389" s="80"/>
      <c r="O389" s="81">
        <v>35016</v>
      </c>
      <c r="P389" s="81"/>
      <c r="Q389" s="81"/>
      <c r="R389" s="80"/>
      <c r="S389" s="81"/>
      <c r="T389" s="78">
        <f t="shared" si="30"/>
        <v>0</v>
      </c>
      <c r="U389" s="79">
        <f t="shared" si="31"/>
        <v>0</v>
      </c>
      <c r="V389" s="80"/>
      <c r="W389" s="81"/>
      <c r="X389" s="80"/>
      <c r="Y389" s="81"/>
      <c r="Z389" s="80"/>
      <c r="AA389" s="80"/>
      <c r="AB389" s="80"/>
      <c r="AC389" s="81"/>
      <c r="AD389" s="81"/>
      <c r="AE389" s="81"/>
      <c r="AF389" s="80"/>
      <c r="AG389" s="81"/>
    </row>
    <row r="390" spans="1:33" s="44" customFormat="1" ht="15" customHeight="1">
      <c r="A390" s="184" t="s">
        <v>489</v>
      </c>
      <c r="B390" s="185" t="s">
        <v>508</v>
      </c>
      <c r="C390" s="191"/>
      <c r="D390" s="187">
        <v>218894</v>
      </c>
      <c r="E390" s="150">
        <v>8</v>
      </c>
      <c r="F390" s="78">
        <f t="shared" si="28"/>
        <v>300605</v>
      </c>
      <c r="G390" s="79">
        <f t="shared" si="29"/>
        <v>280293</v>
      </c>
      <c r="H390" s="80">
        <v>182739</v>
      </c>
      <c r="I390" s="81">
        <v>146206</v>
      </c>
      <c r="J390" s="80">
        <v>16531</v>
      </c>
      <c r="K390" s="81">
        <v>21158</v>
      </c>
      <c r="L390" s="80">
        <v>101335</v>
      </c>
      <c r="M390" s="80"/>
      <c r="N390" s="80"/>
      <c r="O390" s="81">
        <v>112929</v>
      </c>
      <c r="P390" s="81"/>
      <c r="Q390" s="81"/>
      <c r="R390" s="80"/>
      <c r="S390" s="81"/>
      <c r="T390" s="78">
        <f t="shared" si="30"/>
        <v>0</v>
      </c>
      <c r="U390" s="79">
        <f t="shared" si="31"/>
        <v>0</v>
      </c>
      <c r="V390" s="80"/>
      <c r="W390" s="81"/>
      <c r="X390" s="80"/>
      <c r="Y390" s="81"/>
      <c r="Z390" s="80"/>
      <c r="AA390" s="80"/>
      <c r="AB390" s="80"/>
      <c r="AC390" s="81"/>
      <c r="AD390" s="81"/>
      <c r="AE390" s="81"/>
      <c r="AF390" s="80"/>
      <c r="AG390" s="81"/>
    </row>
    <row r="391" spans="1:33" s="44" customFormat="1" ht="15" customHeight="1">
      <c r="A391" s="184" t="s">
        <v>489</v>
      </c>
      <c r="B391" s="185" t="s">
        <v>509</v>
      </c>
      <c r="C391" s="189"/>
      <c r="D391" s="187">
        <v>217615</v>
      </c>
      <c r="E391" s="150">
        <v>10</v>
      </c>
      <c r="F391" s="78">
        <f t="shared" si="28"/>
        <v>52099</v>
      </c>
      <c r="G391" s="79">
        <f t="shared" si="29"/>
        <v>52334</v>
      </c>
      <c r="H391" s="80">
        <v>36810</v>
      </c>
      <c r="I391" s="81">
        <v>36607</v>
      </c>
      <c r="J391" s="80">
        <v>3271</v>
      </c>
      <c r="K391" s="81">
        <v>1560</v>
      </c>
      <c r="L391" s="80">
        <v>12018</v>
      </c>
      <c r="M391" s="80"/>
      <c r="N391" s="80"/>
      <c r="O391" s="81">
        <v>14167</v>
      </c>
      <c r="P391" s="81"/>
      <c r="Q391" s="81"/>
      <c r="R391" s="80"/>
      <c r="S391" s="81"/>
      <c r="T391" s="78">
        <f t="shared" si="30"/>
        <v>0</v>
      </c>
      <c r="U391" s="79">
        <f t="shared" si="31"/>
        <v>0</v>
      </c>
      <c r="V391" s="80"/>
      <c r="W391" s="81"/>
      <c r="X391" s="80"/>
      <c r="Y391" s="81"/>
      <c r="Z391" s="80"/>
      <c r="AA391" s="80"/>
      <c r="AB391" s="80"/>
      <c r="AC391" s="81"/>
      <c r="AD391" s="81"/>
      <c r="AE391" s="81"/>
      <c r="AF391" s="80"/>
      <c r="AG391" s="81"/>
    </row>
    <row r="392" spans="1:33" s="44" customFormat="1" ht="15" customHeight="1">
      <c r="A392" s="184" t="s">
        <v>489</v>
      </c>
      <c r="B392" s="185" t="s">
        <v>510</v>
      </c>
      <c r="C392" s="188"/>
      <c r="D392" s="187">
        <v>218858</v>
      </c>
      <c r="E392" s="150">
        <v>9</v>
      </c>
      <c r="F392" s="78">
        <f t="shared" si="28"/>
        <v>74228</v>
      </c>
      <c r="G392" s="79">
        <f t="shared" si="29"/>
        <v>77357</v>
      </c>
      <c r="H392" s="80">
        <v>47674</v>
      </c>
      <c r="I392" s="81">
        <v>44520</v>
      </c>
      <c r="J392" s="80">
        <v>2208</v>
      </c>
      <c r="K392" s="81">
        <v>3381</v>
      </c>
      <c r="L392" s="80">
        <v>24346</v>
      </c>
      <c r="M392" s="80"/>
      <c r="N392" s="80"/>
      <c r="O392" s="81">
        <v>29456</v>
      </c>
      <c r="P392" s="81"/>
      <c r="Q392" s="81"/>
      <c r="R392" s="80"/>
      <c r="S392" s="81"/>
      <c r="T392" s="78">
        <f t="shared" si="30"/>
        <v>0</v>
      </c>
      <c r="U392" s="79">
        <f t="shared" si="31"/>
        <v>0</v>
      </c>
      <c r="V392" s="80"/>
      <c r="W392" s="81"/>
      <c r="X392" s="80"/>
      <c r="Y392" s="81"/>
      <c r="Z392" s="80"/>
      <c r="AA392" s="80"/>
      <c r="AB392" s="80"/>
      <c r="AC392" s="81"/>
      <c r="AD392" s="81"/>
      <c r="AE392" s="81"/>
      <c r="AF392" s="80"/>
      <c r="AG392" s="81"/>
    </row>
    <row r="393" spans="1:33" s="44" customFormat="1" ht="15" customHeight="1">
      <c r="A393" s="184" t="s">
        <v>489</v>
      </c>
      <c r="B393" s="185" t="s">
        <v>511</v>
      </c>
      <c r="C393" s="191" t="s">
        <v>357</v>
      </c>
      <c r="D393" s="187">
        <v>218487</v>
      </c>
      <c r="E393" s="150">
        <v>9</v>
      </c>
      <c r="F393" s="78">
        <f t="shared" si="28"/>
        <v>56490</v>
      </c>
      <c r="G393" s="79">
        <f t="shared" si="29"/>
        <v>52581</v>
      </c>
      <c r="H393" s="80">
        <v>35923</v>
      </c>
      <c r="I393" s="81">
        <v>31905</v>
      </c>
      <c r="J393" s="80">
        <v>8733</v>
      </c>
      <c r="K393" s="81">
        <v>9406</v>
      </c>
      <c r="L393" s="80">
        <v>11834</v>
      </c>
      <c r="M393" s="80"/>
      <c r="N393" s="80"/>
      <c r="O393" s="81">
        <v>11270</v>
      </c>
      <c r="P393" s="81"/>
      <c r="Q393" s="81"/>
      <c r="R393" s="80"/>
      <c r="S393" s="81"/>
      <c r="T393" s="78">
        <f t="shared" si="30"/>
        <v>0</v>
      </c>
      <c r="U393" s="79">
        <f t="shared" si="31"/>
        <v>0</v>
      </c>
      <c r="V393" s="80"/>
      <c r="W393" s="81"/>
      <c r="X393" s="80"/>
      <c r="Y393" s="81"/>
      <c r="Z393" s="80"/>
      <c r="AA393" s="80"/>
      <c r="AB393" s="80"/>
      <c r="AC393" s="81"/>
      <c r="AD393" s="81"/>
      <c r="AE393" s="81"/>
      <c r="AF393" s="80"/>
      <c r="AG393" s="81"/>
    </row>
    <row r="394" spans="1:33">
      <c r="A394" s="184" t="s">
        <v>489</v>
      </c>
      <c r="B394" s="151" t="s">
        <v>512</v>
      </c>
      <c r="C394" s="152"/>
      <c r="D394" s="187">
        <v>218830</v>
      </c>
      <c r="E394" s="187">
        <v>9</v>
      </c>
      <c r="F394" s="78">
        <f t="shared" si="28"/>
        <v>102245</v>
      </c>
      <c r="G394" s="79">
        <f t="shared" si="29"/>
        <v>98877</v>
      </c>
      <c r="H394" s="80">
        <v>69288</v>
      </c>
      <c r="I394" s="81">
        <v>65277</v>
      </c>
      <c r="J394" s="80">
        <v>12263</v>
      </c>
      <c r="K394" s="81">
        <v>9994</v>
      </c>
      <c r="L394" s="80">
        <v>20694</v>
      </c>
      <c r="M394" s="80"/>
      <c r="N394" s="80"/>
      <c r="O394" s="81">
        <v>23606</v>
      </c>
      <c r="P394" s="81"/>
      <c r="Q394" s="81"/>
      <c r="R394" s="80"/>
      <c r="S394" s="81"/>
      <c r="T394" s="78">
        <f t="shared" si="30"/>
        <v>0</v>
      </c>
      <c r="U394" s="79">
        <f t="shared" si="31"/>
        <v>0</v>
      </c>
      <c r="V394" s="80"/>
      <c r="W394" s="81"/>
      <c r="X394" s="80"/>
      <c r="Y394" s="81"/>
      <c r="Z394" s="80"/>
      <c r="AA394" s="80"/>
      <c r="AB394" s="80"/>
      <c r="AC394" s="81"/>
      <c r="AD394" s="81"/>
      <c r="AE394" s="81"/>
      <c r="AF394" s="80"/>
      <c r="AG394" s="81"/>
    </row>
    <row r="395" spans="1:33">
      <c r="A395" s="184" t="s">
        <v>489</v>
      </c>
      <c r="B395" s="151" t="s">
        <v>513</v>
      </c>
      <c r="C395" s="152"/>
      <c r="D395" s="187">
        <v>218991</v>
      </c>
      <c r="E395" s="187">
        <v>9</v>
      </c>
      <c r="F395" s="78">
        <f t="shared" si="28"/>
        <v>103554</v>
      </c>
      <c r="G395" s="79">
        <f t="shared" si="29"/>
        <v>102927</v>
      </c>
      <c r="H395" s="80">
        <v>74369</v>
      </c>
      <c r="I395" s="81">
        <v>72586</v>
      </c>
      <c r="J395" s="80">
        <v>5189</v>
      </c>
      <c r="K395" s="81">
        <v>5344</v>
      </c>
      <c r="L395" s="80">
        <v>23057</v>
      </c>
      <c r="M395" s="80">
        <v>939</v>
      </c>
      <c r="N395" s="80"/>
      <c r="O395" s="81">
        <v>24919</v>
      </c>
      <c r="P395" s="81">
        <v>78</v>
      </c>
      <c r="Q395" s="81"/>
      <c r="R395" s="80"/>
      <c r="S395" s="81"/>
      <c r="T395" s="78">
        <f t="shared" si="30"/>
        <v>0</v>
      </c>
      <c r="U395" s="79">
        <f t="shared" si="31"/>
        <v>0</v>
      </c>
      <c r="V395" s="80"/>
      <c r="W395" s="81"/>
      <c r="X395" s="80"/>
      <c r="Y395" s="81"/>
      <c r="Z395" s="80"/>
      <c r="AA395" s="80"/>
      <c r="AB395" s="80"/>
      <c r="AC395" s="81"/>
      <c r="AD395" s="81"/>
      <c r="AE395" s="81"/>
      <c r="AF395" s="80"/>
      <c r="AG395" s="81"/>
    </row>
    <row r="396" spans="1:33">
      <c r="A396" s="184" t="s">
        <v>489</v>
      </c>
      <c r="B396" s="185" t="s">
        <v>514</v>
      </c>
      <c r="C396" s="186"/>
      <c r="D396" s="187">
        <v>217989</v>
      </c>
      <c r="E396" s="187">
        <v>10</v>
      </c>
      <c r="F396" s="78">
        <f t="shared" si="28"/>
        <v>20780</v>
      </c>
      <c r="G396" s="79">
        <f t="shared" si="29"/>
        <v>15064</v>
      </c>
      <c r="H396" s="80">
        <v>13338</v>
      </c>
      <c r="I396" s="81">
        <v>8529</v>
      </c>
      <c r="J396" s="80">
        <v>2824</v>
      </c>
      <c r="K396" s="81">
        <v>1818</v>
      </c>
      <c r="L396" s="80">
        <v>4618</v>
      </c>
      <c r="M396" s="80"/>
      <c r="N396" s="80"/>
      <c r="O396" s="81">
        <v>4717</v>
      </c>
      <c r="P396" s="81"/>
      <c r="Q396" s="81"/>
      <c r="R396" s="80"/>
      <c r="S396" s="81"/>
      <c r="T396" s="78">
        <f t="shared" si="30"/>
        <v>0</v>
      </c>
      <c r="U396" s="79">
        <f t="shared" si="31"/>
        <v>0</v>
      </c>
      <c r="V396" s="80"/>
      <c r="W396" s="81"/>
      <c r="X396" s="80"/>
      <c r="Y396" s="81"/>
      <c r="Z396" s="80"/>
      <c r="AA396" s="80"/>
      <c r="AB396" s="80"/>
      <c r="AC396" s="81"/>
      <c r="AD396" s="81"/>
      <c r="AE396" s="81"/>
      <c r="AF396" s="80"/>
      <c r="AG396" s="81"/>
    </row>
    <row r="397" spans="1:33">
      <c r="A397" s="184" t="s">
        <v>489</v>
      </c>
      <c r="B397" s="185" t="s">
        <v>515</v>
      </c>
      <c r="C397" s="186"/>
      <c r="D397" s="187">
        <v>217837</v>
      </c>
      <c r="E397" s="187">
        <v>10</v>
      </c>
      <c r="F397" s="78">
        <f t="shared" si="28"/>
        <v>22379</v>
      </c>
      <c r="G397" s="79">
        <f t="shared" si="29"/>
        <v>21580</v>
      </c>
      <c r="H397" s="80">
        <v>10075</v>
      </c>
      <c r="I397" s="81">
        <v>8389</v>
      </c>
      <c r="J397" s="80">
        <v>821</v>
      </c>
      <c r="K397" s="81">
        <v>1578</v>
      </c>
      <c r="L397" s="80">
        <v>8498</v>
      </c>
      <c r="M397" s="80">
        <v>2985</v>
      </c>
      <c r="N397" s="80"/>
      <c r="O397" s="81">
        <v>7349</v>
      </c>
      <c r="P397" s="81">
        <v>4264</v>
      </c>
      <c r="Q397" s="81"/>
      <c r="R397" s="80"/>
      <c r="S397" s="81"/>
      <c r="T397" s="78">
        <f t="shared" si="30"/>
        <v>0</v>
      </c>
      <c r="U397" s="79">
        <f t="shared" si="31"/>
        <v>0</v>
      </c>
      <c r="V397" s="80"/>
      <c r="W397" s="81"/>
      <c r="X397" s="80"/>
      <c r="Y397" s="81"/>
      <c r="Z397" s="80"/>
      <c r="AA397" s="80"/>
      <c r="AB397" s="80"/>
      <c r="AC397" s="81"/>
      <c r="AD397" s="81"/>
      <c r="AE397" s="81"/>
      <c r="AF397" s="80"/>
      <c r="AG397" s="81"/>
    </row>
    <row r="398" spans="1:33">
      <c r="A398" s="184" t="s">
        <v>489</v>
      </c>
      <c r="B398" s="185" t="s">
        <v>516</v>
      </c>
      <c r="C398" s="186"/>
      <c r="D398" s="187">
        <v>217712</v>
      </c>
      <c r="E398" s="187">
        <v>10</v>
      </c>
      <c r="F398" s="78">
        <f t="shared" si="28"/>
        <v>47257</v>
      </c>
      <c r="G398" s="79">
        <f t="shared" si="29"/>
        <v>46430</v>
      </c>
      <c r="H398" s="80">
        <v>32047</v>
      </c>
      <c r="I398" s="81">
        <v>29952</v>
      </c>
      <c r="J398" s="80">
        <v>2306</v>
      </c>
      <c r="K398" s="81">
        <v>2068</v>
      </c>
      <c r="L398" s="80">
        <v>12904</v>
      </c>
      <c r="M398" s="80"/>
      <c r="N398" s="80"/>
      <c r="O398" s="81">
        <v>14410</v>
      </c>
      <c r="P398" s="81"/>
      <c r="Q398" s="81"/>
      <c r="R398" s="80"/>
      <c r="S398" s="81"/>
      <c r="T398" s="78">
        <f t="shared" si="30"/>
        <v>0</v>
      </c>
      <c r="U398" s="79">
        <f t="shared" si="31"/>
        <v>0</v>
      </c>
      <c r="V398" s="80"/>
      <c r="W398" s="81"/>
      <c r="X398" s="80"/>
      <c r="Y398" s="81"/>
      <c r="Z398" s="80"/>
      <c r="AA398" s="80"/>
      <c r="AB398" s="80"/>
      <c r="AC398" s="81"/>
      <c r="AD398" s="81"/>
      <c r="AE398" s="81"/>
      <c r="AF398" s="80"/>
      <c r="AG398" s="81"/>
    </row>
    <row r="399" spans="1:33">
      <c r="A399" s="184" t="s">
        <v>489</v>
      </c>
      <c r="B399" s="185" t="s">
        <v>517</v>
      </c>
      <c r="C399" s="186"/>
      <c r="D399" s="187">
        <v>218672</v>
      </c>
      <c r="E399" s="187">
        <v>10</v>
      </c>
      <c r="F399" s="78">
        <f t="shared" si="28"/>
        <v>34550</v>
      </c>
      <c r="G399" s="79">
        <f t="shared" si="29"/>
        <v>34788</v>
      </c>
      <c r="H399" s="80">
        <v>30650</v>
      </c>
      <c r="I399" s="81">
        <v>33141</v>
      </c>
      <c r="J399" s="80"/>
      <c r="K399" s="81"/>
      <c r="L399" s="80">
        <v>1113</v>
      </c>
      <c r="M399" s="80"/>
      <c r="N399" s="80">
        <v>2787</v>
      </c>
      <c r="O399" s="81">
        <v>1647</v>
      </c>
      <c r="P399" s="81"/>
      <c r="Q399" s="81"/>
      <c r="R399" s="80"/>
      <c r="S399" s="81"/>
      <c r="T399" s="78">
        <f t="shared" si="30"/>
        <v>0</v>
      </c>
      <c r="U399" s="79">
        <f t="shared" si="31"/>
        <v>0</v>
      </c>
      <c r="V399" s="80"/>
      <c r="W399" s="81"/>
      <c r="X399" s="80"/>
      <c r="Y399" s="81"/>
      <c r="Z399" s="80"/>
      <c r="AA399" s="80"/>
      <c r="AB399" s="80"/>
      <c r="AC399" s="81"/>
      <c r="AD399" s="81"/>
      <c r="AE399" s="81"/>
      <c r="AF399" s="80"/>
      <c r="AG399" s="81"/>
    </row>
    <row r="400" spans="1:33">
      <c r="A400" s="184" t="s">
        <v>489</v>
      </c>
      <c r="B400" s="185" t="s">
        <v>518</v>
      </c>
      <c r="C400" s="186"/>
      <c r="D400" s="187">
        <v>218681</v>
      </c>
      <c r="E400" s="187">
        <v>10</v>
      </c>
      <c r="F400" s="78">
        <f t="shared" si="28"/>
        <v>21022</v>
      </c>
      <c r="G400" s="79">
        <f t="shared" si="29"/>
        <v>21244</v>
      </c>
      <c r="H400" s="80">
        <v>18291</v>
      </c>
      <c r="I400" s="81">
        <v>18699</v>
      </c>
      <c r="J400" s="80"/>
      <c r="K400" s="81"/>
      <c r="L400" s="80">
        <v>2731</v>
      </c>
      <c r="M400" s="80"/>
      <c r="N400" s="80"/>
      <c r="O400" s="81">
        <v>2545</v>
      </c>
      <c r="P400" s="81"/>
      <c r="Q400" s="81"/>
      <c r="R400" s="80"/>
      <c r="S400" s="81"/>
      <c r="T400" s="78">
        <f t="shared" si="30"/>
        <v>0</v>
      </c>
      <c r="U400" s="79">
        <f t="shared" si="31"/>
        <v>0</v>
      </c>
      <c r="V400" s="80"/>
      <c r="W400" s="81"/>
      <c r="X400" s="80"/>
      <c r="Y400" s="81"/>
      <c r="Z400" s="80"/>
      <c r="AA400" s="80"/>
      <c r="AB400" s="80"/>
      <c r="AC400" s="81"/>
      <c r="AD400" s="81"/>
      <c r="AE400" s="81"/>
      <c r="AF400" s="80"/>
      <c r="AG400" s="81"/>
    </row>
    <row r="401" spans="1:33">
      <c r="A401" s="184" t="s">
        <v>489</v>
      </c>
      <c r="B401" s="185" t="s">
        <v>519</v>
      </c>
      <c r="C401" s="186"/>
      <c r="D401" s="187">
        <v>218690</v>
      </c>
      <c r="E401" s="187">
        <v>10</v>
      </c>
      <c r="F401" s="78">
        <f t="shared" si="28"/>
        <v>18662</v>
      </c>
      <c r="G401" s="79">
        <f t="shared" si="29"/>
        <v>20639</v>
      </c>
      <c r="H401" s="80">
        <v>17171</v>
      </c>
      <c r="I401" s="81">
        <v>18208</v>
      </c>
      <c r="J401" s="80"/>
      <c r="K401" s="81"/>
      <c r="L401" s="80">
        <v>1491</v>
      </c>
      <c r="M401" s="80"/>
      <c r="N401" s="80"/>
      <c r="O401" s="81">
        <v>2431</v>
      </c>
      <c r="P401" s="81"/>
      <c r="Q401" s="81"/>
      <c r="R401" s="80"/>
      <c r="S401" s="81"/>
      <c r="T401" s="78">
        <f t="shared" si="30"/>
        <v>0</v>
      </c>
      <c r="U401" s="79">
        <f t="shared" si="31"/>
        <v>0</v>
      </c>
      <c r="V401" s="80"/>
      <c r="W401" s="81"/>
      <c r="X401" s="80"/>
      <c r="Y401" s="81"/>
      <c r="Z401" s="80"/>
      <c r="AA401" s="80"/>
      <c r="AB401" s="80"/>
      <c r="AC401" s="81"/>
      <c r="AD401" s="81"/>
      <c r="AE401" s="81"/>
      <c r="AF401" s="80"/>
      <c r="AG401" s="81"/>
    </row>
    <row r="402" spans="1:33">
      <c r="A402" s="184" t="s">
        <v>489</v>
      </c>
      <c r="B402" s="185" t="s">
        <v>520</v>
      </c>
      <c r="C402" s="186"/>
      <c r="D402" s="187">
        <v>218706</v>
      </c>
      <c r="E402" s="187">
        <v>10</v>
      </c>
      <c r="F402" s="78">
        <f t="shared" si="28"/>
        <v>14115</v>
      </c>
      <c r="G402" s="79">
        <f t="shared" si="29"/>
        <v>15249</v>
      </c>
      <c r="H402" s="80">
        <v>14073</v>
      </c>
      <c r="I402" s="81">
        <v>15099</v>
      </c>
      <c r="J402" s="80"/>
      <c r="K402" s="81"/>
      <c r="L402" s="80">
        <v>42</v>
      </c>
      <c r="M402" s="80"/>
      <c r="N402" s="80"/>
      <c r="O402" s="81">
        <v>150</v>
      </c>
      <c r="P402" s="81"/>
      <c r="Q402" s="81"/>
      <c r="R402" s="80"/>
      <c r="S402" s="81"/>
      <c r="T402" s="78">
        <f t="shared" si="30"/>
        <v>0</v>
      </c>
      <c r="U402" s="79">
        <f t="shared" si="31"/>
        <v>0</v>
      </c>
      <c r="V402" s="80"/>
      <c r="W402" s="81"/>
      <c r="X402" s="80"/>
      <c r="Y402" s="81"/>
      <c r="Z402" s="80"/>
      <c r="AA402" s="80"/>
      <c r="AB402" s="80"/>
      <c r="AC402" s="81"/>
      <c r="AD402" s="81"/>
      <c r="AE402" s="81"/>
      <c r="AF402" s="80"/>
      <c r="AG402" s="81"/>
    </row>
    <row r="403" spans="1:33">
      <c r="A403" s="184" t="s">
        <v>489</v>
      </c>
      <c r="B403" s="185" t="s">
        <v>521</v>
      </c>
      <c r="C403" s="186"/>
      <c r="D403" s="187">
        <v>218955</v>
      </c>
      <c r="E403" s="187">
        <v>10</v>
      </c>
      <c r="F403" s="78">
        <f t="shared" si="28"/>
        <v>13373</v>
      </c>
      <c r="G403" s="79">
        <f t="shared" si="29"/>
        <v>13723</v>
      </c>
      <c r="H403" s="80">
        <v>9954</v>
      </c>
      <c r="I403" s="81">
        <v>10333</v>
      </c>
      <c r="J403" s="80">
        <v>2819</v>
      </c>
      <c r="K403" s="81">
        <v>2991</v>
      </c>
      <c r="L403" s="80">
        <v>600</v>
      </c>
      <c r="M403" s="80"/>
      <c r="N403" s="80"/>
      <c r="O403" s="81">
        <v>399</v>
      </c>
      <c r="P403" s="81"/>
      <c r="Q403" s="81"/>
      <c r="R403" s="80"/>
      <c r="S403" s="81"/>
      <c r="T403" s="78">
        <f t="shared" si="30"/>
        <v>0</v>
      </c>
      <c r="U403" s="79">
        <f t="shared" si="31"/>
        <v>0</v>
      </c>
      <c r="V403" s="80"/>
      <c r="W403" s="81"/>
      <c r="X403" s="80"/>
      <c r="Y403" s="81"/>
      <c r="Z403" s="80"/>
      <c r="AA403" s="80"/>
      <c r="AB403" s="80"/>
      <c r="AC403" s="81"/>
      <c r="AD403" s="81"/>
      <c r="AE403" s="81"/>
      <c r="AF403" s="80"/>
      <c r="AG403" s="81"/>
    </row>
    <row r="404" spans="1:33" s="44" customFormat="1" ht="13.5" customHeight="1">
      <c r="A404" s="3" t="s">
        <v>524</v>
      </c>
      <c r="B404" s="2" t="s">
        <v>525</v>
      </c>
      <c r="C404" s="1"/>
      <c r="D404" s="93">
        <v>220862</v>
      </c>
      <c r="E404" s="93">
        <v>1</v>
      </c>
      <c r="F404" s="78">
        <f t="shared" si="28"/>
        <v>412153</v>
      </c>
      <c r="G404" s="79">
        <f t="shared" si="29"/>
        <v>414680</v>
      </c>
      <c r="H404" s="80">
        <v>290450</v>
      </c>
      <c r="I404" s="81">
        <v>283965</v>
      </c>
      <c r="J404" s="80">
        <v>15493</v>
      </c>
      <c r="K404" s="81">
        <v>18654</v>
      </c>
      <c r="L404" s="80">
        <v>73425</v>
      </c>
      <c r="M404" s="80">
        <v>323</v>
      </c>
      <c r="N404" s="80">
        <v>30235</v>
      </c>
      <c r="O404" s="81">
        <v>77205</v>
      </c>
      <c r="P404" s="81">
        <v>352</v>
      </c>
      <c r="Q404" s="81">
        <v>32389</v>
      </c>
      <c r="R404" s="80">
        <v>2227</v>
      </c>
      <c r="S404" s="81">
        <v>2115</v>
      </c>
      <c r="T404" s="78">
        <f t="shared" si="30"/>
        <v>60371</v>
      </c>
      <c r="U404" s="79">
        <f t="shared" si="31"/>
        <v>60369</v>
      </c>
      <c r="V404" s="80">
        <v>36293</v>
      </c>
      <c r="W404" s="81">
        <v>35820</v>
      </c>
      <c r="X404" s="80">
        <v>145</v>
      </c>
      <c r="Y404" s="81">
        <v>276</v>
      </c>
      <c r="Z404" s="80">
        <v>17324</v>
      </c>
      <c r="AA404" s="80">
        <v>219</v>
      </c>
      <c r="AB404" s="80">
        <v>3041</v>
      </c>
      <c r="AC404" s="81">
        <v>18099</v>
      </c>
      <c r="AD404" s="81">
        <v>165</v>
      </c>
      <c r="AE404" s="81">
        <v>3236</v>
      </c>
      <c r="AF404" s="80">
        <v>3349</v>
      </c>
      <c r="AG404" s="81">
        <v>2773</v>
      </c>
    </row>
    <row r="405" spans="1:33">
      <c r="A405" s="94" t="s">
        <v>524</v>
      </c>
      <c r="B405" s="2" t="s">
        <v>526</v>
      </c>
      <c r="C405" s="95"/>
      <c r="D405" s="93">
        <v>221759</v>
      </c>
      <c r="E405" s="93">
        <v>1</v>
      </c>
      <c r="F405" s="78">
        <f t="shared" si="28"/>
        <v>609521</v>
      </c>
      <c r="G405" s="79">
        <f t="shared" si="29"/>
        <v>618176</v>
      </c>
      <c r="H405" s="80">
        <v>580831</v>
      </c>
      <c r="I405" s="81">
        <v>582865</v>
      </c>
      <c r="J405" s="80">
        <v>18</v>
      </c>
      <c r="K405" s="81">
        <v>24</v>
      </c>
      <c r="L405" s="80">
        <v>23289</v>
      </c>
      <c r="M405" s="80">
        <v>0</v>
      </c>
      <c r="N405" s="80">
        <v>1844</v>
      </c>
      <c r="O405" s="81">
        <v>30185</v>
      </c>
      <c r="P405" s="81">
        <v>0</v>
      </c>
      <c r="Q405" s="81">
        <v>1691</v>
      </c>
      <c r="R405" s="80">
        <v>3539</v>
      </c>
      <c r="S405" s="81">
        <v>3411</v>
      </c>
      <c r="T405" s="78">
        <f t="shared" si="30"/>
        <v>89889</v>
      </c>
      <c r="U405" s="79">
        <f t="shared" si="31"/>
        <v>89553</v>
      </c>
      <c r="V405" s="80">
        <v>68582</v>
      </c>
      <c r="W405" s="81">
        <v>67797</v>
      </c>
      <c r="X405" s="80">
        <v>2871</v>
      </c>
      <c r="Y405" s="81">
        <v>2771</v>
      </c>
      <c r="Z405" s="80">
        <v>14835</v>
      </c>
      <c r="AA405" s="80">
        <v>9</v>
      </c>
      <c r="AB405" s="80">
        <v>1072</v>
      </c>
      <c r="AC405" s="81">
        <v>15650</v>
      </c>
      <c r="AD405" s="81">
        <v>6</v>
      </c>
      <c r="AE405" s="81">
        <v>1204</v>
      </c>
      <c r="AF405" s="80">
        <v>2520</v>
      </c>
      <c r="AG405" s="81">
        <v>2125</v>
      </c>
    </row>
    <row r="406" spans="1:33">
      <c r="A406" s="94" t="s">
        <v>524</v>
      </c>
      <c r="B406" s="96" t="s">
        <v>527</v>
      </c>
      <c r="C406" s="97"/>
      <c r="D406" s="93">
        <v>220075</v>
      </c>
      <c r="E406" s="93">
        <v>2</v>
      </c>
      <c r="F406" s="78">
        <f t="shared" si="28"/>
        <v>298969</v>
      </c>
      <c r="G406" s="79">
        <f t="shared" si="29"/>
        <v>303195</v>
      </c>
      <c r="H406" s="80">
        <v>203469</v>
      </c>
      <c r="I406" s="81">
        <v>200728</v>
      </c>
      <c r="J406" s="80">
        <v>6216</v>
      </c>
      <c r="K406" s="81">
        <v>9984</v>
      </c>
      <c r="L406" s="80">
        <v>65136</v>
      </c>
      <c r="M406" s="80">
        <v>6451</v>
      </c>
      <c r="N406" s="80">
        <v>15705</v>
      </c>
      <c r="O406" s="81">
        <v>68339</v>
      </c>
      <c r="P406" s="81">
        <v>6398</v>
      </c>
      <c r="Q406" s="81">
        <v>15736</v>
      </c>
      <c r="R406" s="80">
        <v>1992</v>
      </c>
      <c r="S406" s="81">
        <v>2010</v>
      </c>
      <c r="T406" s="78">
        <f t="shared" si="30"/>
        <v>42639</v>
      </c>
      <c r="U406" s="79">
        <f t="shared" si="31"/>
        <v>43302</v>
      </c>
      <c r="V406" s="80">
        <v>18510</v>
      </c>
      <c r="W406" s="81">
        <v>18041</v>
      </c>
      <c r="X406" s="80">
        <v>110</v>
      </c>
      <c r="Y406" s="81">
        <v>1410</v>
      </c>
      <c r="Z406" s="80">
        <v>19925</v>
      </c>
      <c r="AA406" s="80">
        <v>258</v>
      </c>
      <c r="AB406" s="80">
        <v>1339</v>
      </c>
      <c r="AC406" s="81">
        <v>19738</v>
      </c>
      <c r="AD406" s="81">
        <v>267</v>
      </c>
      <c r="AE406" s="81">
        <v>1180</v>
      </c>
      <c r="AF406" s="80">
        <v>2497</v>
      </c>
      <c r="AG406" s="81">
        <v>2666</v>
      </c>
    </row>
    <row r="407" spans="1:33">
      <c r="A407" s="3" t="s">
        <v>524</v>
      </c>
      <c r="B407" s="2" t="s">
        <v>528</v>
      </c>
      <c r="C407" s="1"/>
      <c r="D407" s="93">
        <v>221838</v>
      </c>
      <c r="E407" s="93">
        <v>2</v>
      </c>
      <c r="F407" s="78">
        <f t="shared" si="28"/>
        <v>188863</v>
      </c>
      <c r="G407" s="79">
        <f t="shared" si="29"/>
        <v>180535</v>
      </c>
      <c r="H407" s="80">
        <v>148852</v>
      </c>
      <c r="I407" s="81">
        <v>142969</v>
      </c>
      <c r="J407" s="80">
        <v>22053</v>
      </c>
      <c r="K407" s="81">
        <v>20387</v>
      </c>
      <c r="L407" s="80">
        <v>15416</v>
      </c>
      <c r="M407" s="80">
        <v>27</v>
      </c>
      <c r="N407" s="80">
        <v>2273</v>
      </c>
      <c r="O407" s="81">
        <v>14479</v>
      </c>
      <c r="P407" s="81">
        <v>15</v>
      </c>
      <c r="Q407" s="81">
        <v>2194</v>
      </c>
      <c r="R407" s="80">
        <v>242</v>
      </c>
      <c r="S407" s="81">
        <v>491</v>
      </c>
      <c r="T407" s="78">
        <f t="shared" si="30"/>
        <v>25314</v>
      </c>
      <c r="U407" s="79">
        <f t="shared" si="31"/>
        <v>24246</v>
      </c>
      <c r="V407" s="80">
        <v>12422</v>
      </c>
      <c r="W407" s="81">
        <v>11715</v>
      </c>
      <c r="X407" s="80">
        <v>6052</v>
      </c>
      <c r="Y407" s="81">
        <v>5886</v>
      </c>
      <c r="Z407" s="80">
        <v>5752</v>
      </c>
      <c r="AA407" s="80">
        <v>0</v>
      </c>
      <c r="AB407" s="80">
        <v>321</v>
      </c>
      <c r="AC407" s="81">
        <v>5112</v>
      </c>
      <c r="AD407" s="81">
        <v>0</v>
      </c>
      <c r="AE407" s="81">
        <v>926</v>
      </c>
      <c r="AF407" s="80">
        <v>767</v>
      </c>
      <c r="AG407" s="81">
        <v>607</v>
      </c>
    </row>
    <row r="408" spans="1:33">
      <c r="A408" s="94" t="s">
        <v>524</v>
      </c>
      <c r="B408" s="2" t="s">
        <v>529</v>
      </c>
      <c r="C408" s="95"/>
      <c r="D408" s="93">
        <v>219602</v>
      </c>
      <c r="E408" s="93">
        <v>3</v>
      </c>
      <c r="F408" s="78">
        <f t="shared" si="28"/>
        <v>240931</v>
      </c>
      <c r="G408" s="79">
        <f t="shared" si="29"/>
        <v>240233</v>
      </c>
      <c r="H408" s="80">
        <v>146881</v>
      </c>
      <c r="I408" s="81">
        <v>150004</v>
      </c>
      <c r="J408" s="80">
        <v>10679</v>
      </c>
      <c r="K408" s="81">
        <v>10736</v>
      </c>
      <c r="L408" s="80">
        <v>65702</v>
      </c>
      <c r="M408" s="80">
        <v>0</v>
      </c>
      <c r="N408" s="80">
        <v>15502</v>
      </c>
      <c r="O408" s="81">
        <v>62857</v>
      </c>
      <c r="P408" s="81">
        <v>0</v>
      </c>
      <c r="Q408" s="81">
        <v>14770</v>
      </c>
      <c r="R408" s="80">
        <v>2167</v>
      </c>
      <c r="S408" s="81">
        <v>1866</v>
      </c>
      <c r="T408" s="78">
        <f t="shared" si="30"/>
        <v>15251</v>
      </c>
      <c r="U408" s="79">
        <f t="shared" si="31"/>
        <v>14593</v>
      </c>
      <c r="V408" s="80">
        <v>3636</v>
      </c>
      <c r="W408" s="81">
        <v>4244</v>
      </c>
      <c r="X408" s="80">
        <v>186</v>
      </c>
      <c r="Y408" s="81">
        <v>109</v>
      </c>
      <c r="Z408" s="80">
        <v>10012</v>
      </c>
      <c r="AA408" s="80">
        <v>0</v>
      </c>
      <c r="AB408" s="80">
        <v>811</v>
      </c>
      <c r="AC408" s="81">
        <v>9536</v>
      </c>
      <c r="AD408" s="81">
        <v>0</v>
      </c>
      <c r="AE408" s="81">
        <v>245</v>
      </c>
      <c r="AF408" s="80">
        <v>606</v>
      </c>
      <c r="AG408" s="81">
        <v>459</v>
      </c>
    </row>
    <row r="409" spans="1:33" s="44" customFormat="1" ht="15" customHeight="1">
      <c r="A409" s="94" t="s">
        <v>524</v>
      </c>
      <c r="B409" s="96" t="s">
        <v>530</v>
      </c>
      <c r="C409" s="156" t="s">
        <v>575</v>
      </c>
      <c r="D409" s="93">
        <v>220978</v>
      </c>
      <c r="E409" s="194">
        <v>2</v>
      </c>
      <c r="F409" s="78">
        <f t="shared" si="28"/>
        <v>513248</v>
      </c>
      <c r="G409" s="79">
        <f t="shared" si="29"/>
        <v>502421</v>
      </c>
      <c r="H409" s="80">
        <v>417029</v>
      </c>
      <c r="I409" s="81">
        <v>404411</v>
      </c>
      <c r="J409" s="80">
        <v>1132</v>
      </c>
      <c r="K409" s="81">
        <v>4166</v>
      </c>
      <c r="L409" s="80">
        <v>72366</v>
      </c>
      <c r="M409" s="80">
        <v>531</v>
      </c>
      <c r="N409" s="80">
        <v>18335</v>
      </c>
      <c r="O409" s="81">
        <v>71150</v>
      </c>
      <c r="P409" s="81">
        <v>289</v>
      </c>
      <c r="Q409" s="81">
        <v>18681</v>
      </c>
      <c r="R409" s="80">
        <v>3855</v>
      </c>
      <c r="S409" s="81">
        <v>3724</v>
      </c>
      <c r="T409" s="78">
        <f t="shared" si="30"/>
        <v>35290</v>
      </c>
      <c r="U409" s="79">
        <f t="shared" si="31"/>
        <v>35833</v>
      </c>
      <c r="V409" s="80">
        <v>22183</v>
      </c>
      <c r="W409" s="81">
        <v>20599</v>
      </c>
      <c r="X409" s="80">
        <v>612</v>
      </c>
      <c r="Y409" s="81">
        <v>2698</v>
      </c>
      <c r="Z409" s="80">
        <v>9874</v>
      </c>
      <c r="AA409" s="80">
        <v>0</v>
      </c>
      <c r="AB409" s="80">
        <v>952</v>
      </c>
      <c r="AC409" s="81">
        <v>9838</v>
      </c>
      <c r="AD409" s="81">
        <v>0</v>
      </c>
      <c r="AE409" s="81">
        <v>886</v>
      </c>
      <c r="AF409" s="80">
        <v>1669</v>
      </c>
      <c r="AG409" s="81">
        <v>1812</v>
      </c>
    </row>
    <row r="410" spans="1:33" s="44" customFormat="1" ht="15" customHeight="1">
      <c r="A410" s="3" t="s">
        <v>524</v>
      </c>
      <c r="B410" s="2" t="s">
        <v>531</v>
      </c>
      <c r="C410" s="193"/>
      <c r="D410" s="93">
        <v>221847</v>
      </c>
      <c r="E410" s="93">
        <v>3</v>
      </c>
      <c r="F410" s="78">
        <f t="shared" si="28"/>
        <v>255489</v>
      </c>
      <c r="G410" s="79">
        <f t="shared" si="29"/>
        <v>251766</v>
      </c>
      <c r="H410" s="80">
        <v>164013</v>
      </c>
      <c r="I410" s="81">
        <v>157641</v>
      </c>
      <c r="J410" s="80">
        <v>2002</v>
      </c>
      <c r="K410" s="81">
        <v>3583</v>
      </c>
      <c r="L410" s="80">
        <v>18769</v>
      </c>
      <c r="M410" s="80">
        <v>0</v>
      </c>
      <c r="N410" s="80">
        <v>66968</v>
      </c>
      <c r="O410" s="81">
        <v>19529</v>
      </c>
      <c r="P410" s="81">
        <v>0</v>
      </c>
      <c r="Q410" s="81">
        <v>67586</v>
      </c>
      <c r="R410" s="80">
        <v>3737</v>
      </c>
      <c r="S410" s="81">
        <v>3427</v>
      </c>
      <c r="T410" s="78">
        <f t="shared" si="30"/>
        <v>15434</v>
      </c>
      <c r="U410" s="79">
        <f t="shared" si="31"/>
        <v>15547</v>
      </c>
      <c r="V410" s="80">
        <v>4074</v>
      </c>
      <c r="W410" s="81">
        <v>3590</v>
      </c>
      <c r="X410" s="80">
        <v>3</v>
      </c>
      <c r="Y410" s="81">
        <v>84</v>
      </c>
      <c r="Z410" s="80">
        <v>8266</v>
      </c>
      <c r="AA410" s="80">
        <v>0</v>
      </c>
      <c r="AB410" s="80">
        <v>1889</v>
      </c>
      <c r="AC410" s="81">
        <v>9203</v>
      </c>
      <c r="AD410" s="81">
        <v>0</v>
      </c>
      <c r="AE410" s="81">
        <v>1660</v>
      </c>
      <c r="AF410" s="80">
        <v>1202</v>
      </c>
      <c r="AG410" s="81">
        <v>1010</v>
      </c>
    </row>
    <row r="411" spans="1:33" s="44" customFormat="1" ht="15" customHeight="1">
      <c r="A411" s="94" t="s">
        <v>524</v>
      </c>
      <c r="B411" s="2" t="s">
        <v>532</v>
      </c>
      <c r="C411" s="193"/>
      <c r="D411" s="93">
        <v>221740</v>
      </c>
      <c r="E411" s="93">
        <v>3</v>
      </c>
      <c r="F411" s="78">
        <f t="shared" si="28"/>
        <v>275347</v>
      </c>
      <c r="G411" s="79">
        <f t="shared" si="29"/>
        <v>277997</v>
      </c>
      <c r="H411" s="80">
        <v>230437</v>
      </c>
      <c r="I411" s="81">
        <v>224718</v>
      </c>
      <c r="J411" s="80">
        <v>471</v>
      </c>
      <c r="K411" s="81">
        <v>2733</v>
      </c>
      <c r="L411" s="80">
        <v>43371</v>
      </c>
      <c r="M411" s="80">
        <v>0</v>
      </c>
      <c r="N411" s="80">
        <v>6</v>
      </c>
      <c r="O411" s="81">
        <v>49482</v>
      </c>
      <c r="P411" s="81">
        <v>0</v>
      </c>
      <c r="Q411" s="81">
        <v>18</v>
      </c>
      <c r="R411" s="80">
        <v>1062</v>
      </c>
      <c r="S411" s="81">
        <v>1046</v>
      </c>
      <c r="T411" s="78">
        <f t="shared" si="30"/>
        <v>24597</v>
      </c>
      <c r="U411" s="79">
        <f t="shared" si="31"/>
        <v>26381</v>
      </c>
      <c r="V411" s="80">
        <v>16089</v>
      </c>
      <c r="W411" s="81">
        <v>16732</v>
      </c>
      <c r="X411" s="80">
        <v>0</v>
      </c>
      <c r="Y411" s="81">
        <v>0</v>
      </c>
      <c r="Z411" s="80">
        <v>8157</v>
      </c>
      <c r="AA411" s="80">
        <v>8</v>
      </c>
      <c r="AB411" s="80">
        <v>0</v>
      </c>
      <c r="AC411" s="81">
        <v>9404</v>
      </c>
      <c r="AD411" s="81">
        <v>6</v>
      </c>
      <c r="AE411" s="81">
        <v>0</v>
      </c>
      <c r="AF411" s="80">
        <v>343</v>
      </c>
      <c r="AG411" s="81">
        <v>239</v>
      </c>
    </row>
    <row r="412" spans="1:33" s="44" customFormat="1" ht="15" customHeight="1">
      <c r="A412" s="94" t="s">
        <v>524</v>
      </c>
      <c r="B412" s="96" t="s">
        <v>533</v>
      </c>
      <c r="C412" s="193"/>
      <c r="D412" s="93">
        <v>221768</v>
      </c>
      <c r="E412" s="93">
        <v>5</v>
      </c>
      <c r="F412" s="78">
        <f t="shared" si="28"/>
        <v>169557</v>
      </c>
      <c r="G412" s="79">
        <f t="shared" si="29"/>
        <v>164451</v>
      </c>
      <c r="H412" s="80">
        <v>139906</v>
      </c>
      <c r="I412" s="81">
        <v>132162</v>
      </c>
      <c r="J412" s="80">
        <v>7065</v>
      </c>
      <c r="K412" s="81">
        <v>7228</v>
      </c>
      <c r="L412" s="80">
        <v>18144</v>
      </c>
      <c r="M412" s="80">
        <v>4113</v>
      </c>
      <c r="N412" s="80">
        <v>42</v>
      </c>
      <c r="O412" s="81">
        <v>21021</v>
      </c>
      <c r="P412" s="81">
        <v>3829</v>
      </c>
      <c r="Q412" s="81">
        <v>24</v>
      </c>
      <c r="R412" s="80">
        <v>287</v>
      </c>
      <c r="S412" s="81">
        <v>187</v>
      </c>
      <c r="T412" s="78">
        <f t="shared" si="30"/>
        <v>6169</v>
      </c>
      <c r="U412" s="79">
        <f t="shared" si="31"/>
        <v>6757</v>
      </c>
      <c r="V412" s="80">
        <v>711</v>
      </c>
      <c r="W412" s="81">
        <v>880</v>
      </c>
      <c r="X412" s="80">
        <v>6</v>
      </c>
      <c r="Y412" s="81">
        <v>0</v>
      </c>
      <c r="Z412" s="80">
        <v>5449</v>
      </c>
      <c r="AA412" s="80">
        <v>0</v>
      </c>
      <c r="AB412" s="80">
        <v>0</v>
      </c>
      <c r="AC412" s="81">
        <v>5877</v>
      </c>
      <c r="AD412" s="81">
        <v>0</v>
      </c>
      <c r="AE412" s="81">
        <v>0</v>
      </c>
      <c r="AF412" s="80">
        <v>3</v>
      </c>
      <c r="AG412" s="81">
        <v>0</v>
      </c>
    </row>
    <row r="413" spans="1:33" s="44" customFormat="1" ht="15" customHeight="1">
      <c r="A413" s="3" t="s">
        <v>524</v>
      </c>
      <c r="B413" s="2" t="s">
        <v>534</v>
      </c>
      <c r="C413" s="193"/>
      <c r="D413" s="93">
        <v>219824</v>
      </c>
      <c r="E413" s="93">
        <v>8</v>
      </c>
      <c r="F413" s="78">
        <f t="shared" si="28"/>
        <v>173410</v>
      </c>
      <c r="G413" s="79">
        <f t="shared" si="29"/>
        <v>165710</v>
      </c>
      <c r="H413" s="80">
        <v>106544</v>
      </c>
      <c r="I413" s="81">
        <v>98756</v>
      </c>
      <c r="J413" s="80">
        <v>7512</v>
      </c>
      <c r="K413" s="81">
        <v>10749</v>
      </c>
      <c r="L413" s="80">
        <v>43230</v>
      </c>
      <c r="M413" s="80">
        <v>0</v>
      </c>
      <c r="N413" s="80">
        <v>15987</v>
      </c>
      <c r="O413" s="81">
        <v>41416</v>
      </c>
      <c r="P413" s="81">
        <v>0</v>
      </c>
      <c r="Q413" s="81">
        <v>14575</v>
      </c>
      <c r="R413" s="80">
        <v>137</v>
      </c>
      <c r="S413" s="81">
        <v>214</v>
      </c>
      <c r="T413" s="78">
        <f t="shared" si="30"/>
        <v>0</v>
      </c>
      <c r="U413" s="79">
        <f t="shared" si="31"/>
        <v>0</v>
      </c>
      <c r="V413" s="80"/>
      <c r="W413" s="81"/>
      <c r="X413" s="80"/>
      <c r="Y413" s="81"/>
      <c r="Z413" s="80"/>
      <c r="AA413" s="80"/>
      <c r="AB413" s="80"/>
      <c r="AC413" s="81"/>
      <c r="AD413" s="81"/>
      <c r="AE413" s="81"/>
      <c r="AF413" s="80"/>
      <c r="AG413" s="81"/>
    </row>
    <row r="414" spans="1:33" s="44" customFormat="1" ht="15" customHeight="1">
      <c r="A414" s="94" t="s">
        <v>524</v>
      </c>
      <c r="B414" s="2" t="s">
        <v>535</v>
      </c>
      <c r="C414" s="193"/>
      <c r="D414" s="93">
        <v>221184</v>
      </c>
      <c r="E414" s="93">
        <v>8</v>
      </c>
      <c r="F414" s="78">
        <f t="shared" si="28"/>
        <v>188283.5</v>
      </c>
      <c r="G414" s="79">
        <f t="shared" si="29"/>
        <v>164329</v>
      </c>
      <c r="H414" s="80">
        <v>118677.5</v>
      </c>
      <c r="I414" s="81">
        <v>62165</v>
      </c>
      <c r="J414" s="80">
        <v>23119</v>
      </c>
      <c r="K414" s="81">
        <v>61709</v>
      </c>
      <c r="L414" s="80">
        <v>38452</v>
      </c>
      <c r="M414" s="80">
        <v>0</v>
      </c>
      <c r="N414" s="80">
        <v>7868</v>
      </c>
      <c r="O414" s="81">
        <v>36777</v>
      </c>
      <c r="P414" s="81">
        <v>0</v>
      </c>
      <c r="Q414" s="81">
        <v>3552</v>
      </c>
      <c r="R414" s="80">
        <v>167</v>
      </c>
      <c r="S414" s="81">
        <v>126</v>
      </c>
      <c r="T414" s="78">
        <f t="shared" si="30"/>
        <v>0</v>
      </c>
      <c r="U414" s="79">
        <f t="shared" si="31"/>
        <v>0</v>
      </c>
      <c r="V414" s="80"/>
      <c r="W414" s="81"/>
      <c r="X414" s="80"/>
      <c r="Y414" s="81"/>
      <c r="Z414" s="80"/>
      <c r="AA414" s="80"/>
      <c r="AB414" s="80"/>
      <c r="AC414" s="81"/>
      <c r="AD414" s="81"/>
      <c r="AE414" s="81"/>
      <c r="AF414" s="80"/>
      <c r="AG414" s="81"/>
    </row>
    <row r="415" spans="1:33" s="44" customFormat="1" ht="15" customHeight="1">
      <c r="A415" s="94" t="s">
        <v>524</v>
      </c>
      <c r="B415" s="96" t="s">
        <v>536</v>
      </c>
      <c r="C415" s="193"/>
      <c r="D415" s="93">
        <v>221643</v>
      </c>
      <c r="E415" s="93">
        <v>8</v>
      </c>
      <c r="F415" s="78">
        <f t="shared" si="28"/>
        <v>205751</v>
      </c>
      <c r="G415" s="79">
        <f t="shared" si="29"/>
        <v>210687</v>
      </c>
      <c r="H415" s="80">
        <v>121595</v>
      </c>
      <c r="I415" s="81">
        <v>112782</v>
      </c>
      <c r="J415" s="80">
        <v>48922</v>
      </c>
      <c r="K415" s="81">
        <v>58784</v>
      </c>
      <c r="L415" s="80">
        <v>28747</v>
      </c>
      <c r="M415" s="80">
        <v>957</v>
      </c>
      <c r="N415" s="80">
        <v>5424</v>
      </c>
      <c r="O415" s="81">
        <v>34029</v>
      </c>
      <c r="P415" s="81">
        <v>354</v>
      </c>
      <c r="Q415" s="81">
        <v>4621</v>
      </c>
      <c r="R415" s="80">
        <v>106</v>
      </c>
      <c r="S415" s="81">
        <v>117</v>
      </c>
      <c r="T415" s="78">
        <f t="shared" si="30"/>
        <v>0</v>
      </c>
      <c r="U415" s="79">
        <f t="shared" si="31"/>
        <v>0</v>
      </c>
      <c r="V415" s="80"/>
      <c r="W415" s="81"/>
      <c r="X415" s="80"/>
      <c r="Y415" s="81"/>
      <c r="Z415" s="80"/>
      <c r="AA415" s="80"/>
      <c r="AB415" s="80"/>
      <c r="AC415" s="81"/>
      <c r="AD415" s="81"/>
      <c r="AE415" s="81"/>
      <c r="AF415" s="80"/>
      <c r="AG415" s="81"/>
    </row>
    <row r="416" spans="1:33" s="44" customFormat="1" ht="15" customHeight="1">
      <c r="A416" s="3" t="s">
        <v>524</v>
      </c>
      <c r="B416" s="2" t="s">
        <v>537</v>
      </c>
      <c r="C416" s="193"/>
      <c r="D416" s="93">
        <v>221485</v>
      </c>
      <c r="E416" s="93">
        <v>8</v>
      </c>
      <c r="F416" s="78">
        <f t="shared" si="28"/>
        <v>149000</v>
      </c>
      <c r="G416" s="79">
        <f t="shared" si="29"/>
        <v>154526</v>
      </c>
      <c r="H416" s="80">
        <v>13984</v>
      </c>
      <c r="I416" s="81">
        <v>0</v>
      </c>
      <c r="J416" s="80">
        <v>102597</v>
      </c>
      <c r="K416" s="81">
        <v>116551</v>
      </c>
      <c r="L416" s="80">
        <v>25468</v>
      </c>
      <c r="M416" s="80">
        <v>0</v>
      </c>
      <c r="N416" s="80">
        <v>6945</v>
      </c>
      <c r="O416" s="81">
        <v>30354</v>
      </c>
      <c r="P416" s="81">
        <v>0</v>
      </c>
      <c r="Q416" s="81">
        <v>7610</v>
      </c>
      <c r="R416" s="80">
        <v>6</v>
      </c>
      <c r="S416" s="81">
        <v>11</v>
      </c>
      <c r="T416" s="78">
        <f t="shared" si="30"/>
        <v>0</v>
      </c>
      <c r="U416" s="79">
        <f t="shared" si="31"/>
        <v>0</v>
      </c>
      <c r="V416" s="80"/>
      <c r="W416" s="81"/>
      <c r="X416" s="80"/>
      <c r="Y416" s="81"/>
      <c r="Z416" s="80"/>
      <c r="AA416" s="80"/>
      <c r="AB416" s="80"/>
      <c r="AC416" s="81"/>
      <c r="AD416" s="81"/>
      <c r="AE416" s="81"/>
      <c r="AF416" s="80"/>
      <c r="AG416" s="81"/>
    </row>
    <row r="417" spans="1:33" s="44" customFormat="1" ht="15" customHeight="1">
      <c r="A417" s="94" t="s">
        <v>524</v>
      </c>
      <c r="B417" s="2" t="s">
        <v>538</v>
      </c>
      <c r="C417" s="193"/>
      <c r="D417" s="93">
        <v>222053</v>
      </c>
      <c r="E417" s="93">
        <v>8</v>
      </c>
      <c r="F417" s="78">
        <f t="shared" si="28"/>
        <v>167161</v>
      </c>
      <c r="G417" s="79">
        <f t="shared" si="29"/>
        <v>176044</v>
      </c>
      <c r="H417" s="80">
        <v>106803</v>
      </c>
      <c r="I417" s="81">
        <v>91765</v>
      </c>
      <c r="J417" s="80">
        <v>14228</v>
      </c>
      <c r="K417" s="81">
        <v>30387</v>
      </c>
      <c r="L417" s="80">
        <v>42229</v>
      </c>
      <c r="M417" s="80">
        <v>84</v>
      </c>
      <c r="N417" s="80">
        <v>3460</v>
      </c>
      <c r="O417" s="81">
        <v>46627</v>
      </c>
      <c r="P417" s="81">
        <v>0</v>
      </c>
      <c r="Q417" s="81">
        <v>6919</v>
      </c>
      <c r="R417" s="80">
        <v>357</v>
      </c>
      <c r="S417" s="81">
        <v>346</v>
      </c>
      <c r="T417" s="78">
        <f t="shared" si="30"/>
        <v>0</v>
      </c>
      <c r="U417" s="79">
        <f t="shared" si="31"/>
        <v>0</v>
      </c>
      <c r="V417" s="80"/>
      <c r="W417" s="81"/>
      <c r="X417" s="80"/>
      <c r="Y417" s="81"/>
      <c r="Z417" s="80"/>
      <c r="AA417" s="80"/>
      <c r="AB417" s="80"/>
      <c r="AC417" s="81"/>
      <c r="AD417" s="81"/>
      <c r="AE417" s="81"/>
      <c r="AF417" s="80"/>
      <c r="AG417" s="81"/>
    </row>
    <row r="418" spans="1:33" s="44" customFormat="1" ht="15" customHeight="1">
      <c r="A418" s="94" t="s">
        <v>524</v>
      </c>
      <c r="B418" s="96" t="s">
        <v>539</v>
      </c>
      <c r="C418" s="193"/>
      <c r="D418" s="93">
        <v>219879</v>
      </c>
      <c r="E418" s="93">
        <v>9</v>
      </c>
      <c r="F418" s="78">
        <f t="shared" si="28"/>
        <v>68429</v>
      </c>
      <c r="G418" s="79">
        <f t="shared" si="29"/>
        <v>62404</v>
      </c>
      <c r="H418" s="80">
        <v>38870</v>
      </c>
      <c r="I418" s="81">
        <v>32938</v>
      </c>
      <c r="J418" s="80">
        <v>10498</v>
      </c>
      <c r="K418" s="81">
        <v>10254</v>
      </c>
      <c r="L418" s="80">
        <v>10594</v>
      </c>
      <c r="M418" s="80">
        <v>15</v>
      </c>
      <c r="N418" s="80">
        <v>7868</v>
      </c>
      <c r="O418" s="81">
        <v>9740</v>
      </c>
      <c r="P418" s="81">
        <v>9</v>
      </c>
      <c r="Q418" s="81">
        <v>8822</v>
      </c>
      <c r="R418" s="80">
        <v>584</v>
      </c>
      <c r="S418" s="81">
        <v>641</v>
      </c>
      <c r="T418" s="78">
        <f t="shared" si="30"/>
        <v>0</v>
      </c>
      <c r="U418" s="79">
        <f t="shared" si="31"/>
        <v>0</v>
      </c>
      <c r="V418" s="80"/>
      <c r="W418" s="81"/>
      <c r="X418" s="80"/>
      <c r="Y418" s="81"/>
      <c r="Z418" s="80"/>
      <c r="AA418" s="80"/>
      <c r="AB418" s="80"/>
      <c r="AC418" s="81"/>
      <c r="AD418" s="81"/>
      <c r="AE418" s="81"/>
      <c r="AF418" s="80"/>
      <c r="AG418" s="81"/>
    </row>
    <row r="419" spans="1:33" s="44" customFormat="1" ht="15" customHeight="1">
      <c r="A419" s="3" t="s">
        <v>524</v>
      </c>
      <c r="B419" s="2" t="s">
        <v>540</v>
      </c>
      <c r="C419" s="193"/>
      <c r="D419" s="93">
        <v>219888</v>
      </c>
      <c r="E419" s="93">
        <v>9</v>
      </c>
      <c r="F419" s="78">
        <f t="shared" si="28"/>
        <v>105415</v>
      </c>
      <c r="G419" s="79">
        <f t="shared" si="29"/>
        <v>110124</v>
      </c>
      <c r="H419" s="80">
        <v>37001</v>
      </c>
      <c r="I419" s="81">
        <v>34457</v>
      </c>
      <c r="J419" s="80">
        <v>36897</v>
      </c>
      <c r="K419" s="81">
        <v>44049</v>
      </c>
      <c r="L419" s="80">
        <v>22325</v>
      </c>
      <c r="M419" s="80">
        <v>3685</v>
      </c>
      <c r="N419" s="80">
        <v>5424</v>
      </c>
      <c r="O419" s="81">
        <v>24537</v>
      </c>
      <c r="P419" s="81">
        <v>1361</v>
      </c>
      <c r="Q419" s="81">
        <v>5584</v>
      </c>
      <c r="R419" s="80">
        <v>83</v>
      </c>
      <c r="S419" s="81">
        <v>136</v>
      </c>
      <c r="T419" s="78">
        <f t="shared" si="30"/>
        <v>0</v>
      </c>
      <c r="U419" s="79">
        <f t="shared" si="31"/>
        <v>0</v>
      </c>
      <c r="V419" s="80"/>
      <c r="W419" s="81"/>
      <c r="X419" s="80"/>
      <c r="Y419" s="81"/>
      <c r="Z419" s="80"/>
      <c r="AA419" s="80"/>
      <c r="AB419" s="80"/>
      <c r="AC419" s="81"/>
      <c r="AD419" s="81"/>
      <c r="AE419" s="81"/>
      <c r="AF419" s="80"/>
      <c r="AG419" s="81"/>
    </row>
    <row r="420" spans="1:33" s="44" customFormat="1" ht="15" customHeight="1">
      <c r="A420" s="94" t="s">
        <v>524</v>
      </c>
      <c r="B420" s="2" t="s">
        <v>541</v>
      </c>
      <c r="C420" s="156"/>
      <c r="D420" s="93">
        <v>220057</v>
      </c>
      <c r="E420" s="93">
        <v>10</v>
      </c>
      <c r="F420" s="78">
        <f t="shared" si="28"/>
        <v>50054</v>
      </c>
      <c r="G420" s="79">
        <f t="shared" si="29"/>
        <v>50263</v>
      </c>
      <c r="H420" s="80">
        <v>16977</v>
      </c>
      <c r="I420" s="81">
        <v>15580</v>
      </c>
      <c r="J420" s="80">
        <v>19799</v>
      </c>
      <c r="K420" s="81">
        <v>20756</v>
      </c>
      <c r="L420" s="80">
        <v>9328</v>
      </c>
      <c r="M420" s="80">
        <v>2743</v>
      </c>
      <c r="N420" s="80">
        <v>1044</v>
      </c>
      <c r="O420" s="81">
        <v>10328</v>
      </c>
      <c r="P420" s="81">
        <v>2178</v>
      </c>
      <c r="Q420" s="81">
        <v>1248</v>
      </c>
      <c r="R420" s="80">
        <v>163</v>
      </c>
      <c r="S420" s="81">
        <v>173</v>
      </c>
      <c r="T420" s="78">
        <f t="shared" si="30"/>
        <v>0</v>
      </c>
      <c r="U420" s="79">
        <f t="shared" si="31"/>
        <v>0</v>
      </c>
      <c r="V420" s="80"/>
      <c r="W420" s="81"/>
      <c r="X420" s="80"/>
      <c r="Y420" s="81"/>
      <c r="Z420" s="80"/>
      <c r="AA420" s="80"/>
      <c r="AB420" s="80"/>
      <c r="AC420" s="81"/>
      <c r="AD420" s="81"/>
      <c r="AE420" s="81"/>
      <c r="AF420" s="80"/>
      <c r="AG420" s="81"/>
    </row>
    <row r="421" spans="1:33" s="44" customFormat="1" ht="15" customHeight="1">
      <c r="A421" s="94" t="s">
        <v>524</v>
      </c>
      <c r="B421" s="96" t="s">
        <v>542</v>
      </c>
      <c r="C421" s="193"/>
      <c r="D421" s="93">
        <v>220400</v>
      </c>
      <c r="E421" s="93">
        <v>9</v>
      </c>
      <c r="F421" s="78">
        <f t="shared" si="28"/>
        <v>88242</v>
      </c>
      <c r="G421" s="79">
        <f t="shared" si="29"/>
        <v>88858</v>
      </c>
      <c r="H421" s="80">
        <v>48385</v>
      </c>
      <c r="I421" s="81">
        <v>43568</v>
      </c>
      <c r="J421" s="80">
        <v>10294</v>
      </c>
      <c r="K421" s="81">
        <v>13637</v>
      </c>
      <c r="L421" s="80">
        <v>19232</v>
      </c>
      <c r="M421" s="80">
        <v>3759</v>
      </c>
      <c r="N421" s="80">
        <v>6492</v>
      </c>
      <c r="O421" s="81">
        <v>20215</v>
      </c>
      <c r="P421" s="81">
        <v>3966</v>
      </c>
      <c r="Q421" s="81">
        <v>7439</v>
      </c>
      <c r="R421" s="80">
        <v>80</v>
      </c>
      <c r="S421" s="81">
        <v>33</v>
      </c>
      <c r="T421" s="78">
        <f t="shared" si="30"/>
        <v>0</v>
      </c>
      <c r="U421" s="79">
        <f t="shared" si="31"/>
        <v>0</v>
      </c>
      <c r="V421" s="80"/>
      <c r="W421" s="81"/>
      <c r="X421" s="80"/>
      <c r="Y421" s="81"/>
      <c r="Z421" s="80"/>
      <c r="AA421" s="80"/>
      <c r="AB421" s="80"/>
      <c r="AC421" s="81"/>
      <c r="AD421" s="81"/>
      <c r="AE421" s="81"/>
      <c r="AF421" s="80"/>
      <c r="AG421" s="81"/>
    </row>
    <row r="422" spans="1:33" s="44" customFormat="1" ht="15" customHeight="1">
      <c r="A422" s="3" t="s">
        <v>524</v>
      </c>
      <c r="B422" s="2" t="s">
        <v>543</v>
      </c>
      <c r="C422" s="193"/>
      <c r="D422" s="93">
        <v>221096</v>
      </c>
      <c r="E422" s="93">
        <v>9</v>
      </c>
      <c r="F422" s="78">
        <f t="shared" si="28"/>
        <v>117894</v>
      </c>
      <c r="G422" s="79">
        <f t="shared" si="29"/>
        <v>129107</v>
      </c>
      <c r="H422" s="80">
        <v>26607</v>
      </c>
      <c r="I422" s="81">
        <v>24605</v>
      </c>
      <c r="J422" s="80">
        <v>63278</v>
      </c>
      <c r="K422" s="81">
        <v>67186</v>
      </c>
      <c r="L422" s="80">
        <v>18540</v>
      </c>
      <c r="M422" s="80">
        <v>6018</v>
      </c>
      <c r="N422" s="80">
        <v>3171</v>
      </c>
      <c r="O422" s="81">
        <v>26343</v>
      </c>
      <c r="P422" s="81">
        <v>6838</v>
      </c>
      <c r="Q422" s="81">
        <v>3824</v>
      </c>
      <c r="R422" s="80">
        <v>280</v>
      </c>
      <c r="S422" s="81">
        <v>311</v>
      </c>
      <c r="T422" s="78">
        <f t="shared" si="30"/>
        <v>0</v>
      </c>
      <c r="U422" s="79">
        <f t="shared" si="31"/>
        <v>0</v>
      </c>
      <c r="V422" s="80"/>
      <c r="W422" s="81"/>
      <c r="X422" s="80"/>
      <c r="Y422" s="81"/>
      <c r="Z422" s="80"/>
      <c r="AA422" s="80"/>
      <c r="AB422" s="80"/>
      <c r="AC422" s="81"/>
      <c r="AD422" s="81"/>
      <c r="AE422" s="81"/>
      <c r="AF422" s="80"/>
      <c r="AG422" s="81"/>
    </row>
    <row r="423" spans="1:33" s="44" customFormat="1" ht="15" customHeight="1">
      <c r="A423" s="94" t="s">
        <v>524</v>
      </c>
      <c r="B423" s="2" t="s">
        <v>544</v>
      </c>
      <c r="C423" s="193"/>
      <c r="D423" s="93">
        <v>221908</v>
      </c>
      <c r="E423" s="93">
        <v>9</v>
      </c>
      <c r="F423" s="78">
        <f t="shared" si="28"/>
        <v>125641</v>
      </c>
      <c r="G423" s="79">
        <f t="shared" si="29"/>
        <v>122546</v>
      </c>
      <c r="H423" s="80">
        <v>70490</v>
      </c>
      <c r="I423" s="81">
        <v>64986</v>
      </c>
      <c r="J423" s="80">
        <v>33949</v>
      </c>
      <c r="K423" s="81">
        <v>37077</v>
      </c>
      <c r="L423" s="80">
        <v>15466</v>
      </c>
      <c r="M423" s="80">
        <v>4014</v>
      </c>
      <c r="N423" s="80">
        <v>1671</v>
      </c>
      <c r="O423" s="81">
        <v>15553</v>
      </c>
      <c r="P423" s="81">
        <v>2015</v>
      </c>
      <c r="Q423" s="81">
        <v>2786</v>
      </c>
      <c r="R423" s="80">
        <v>51</v>
      </c>
      <c r="S423" s="81">
        <v>129</v>
      </c>
      <c r="T423" s="78">
        <f t="shared" si="30"/>
        <v>0</v>
      </c>
      <c r="U423" s="79">
        <f t="shared" si="31"/>
        <v>0</v>
      </c>
      <c r="V423" s="80"/>
      <c r="W423" s="81"/>
      <c r="X423" s="80"/>
      <c r="Y423" s="81"/>
      <c r="Z423" s="80"/>
      <c r="AA423" s="80"/>
      <c r="AB423" s="80"/>
      <c r="AC423" s="81"/>
      <c r="AD423" s="81"/>
      <c r="AE423" s="81"/>
      <c r="AF423" s="80"/>
      <c r="AG423" s="81"/>
    </row>
    <row r="424" spans="1:33" s="44" customFormat="1" ht="15" customHeight="1">
      <c r="A424" s="94" t="s">
        <v>524</v>
      </c>
      <c r="B424" s="96" t="s">
        <v>545</v>
      </c>
      <c r="C424" s="193"/>
      <c r="D424" s="93">
        <v>221397</v>
      </c>
      <c r="E424" s="93">
        <v>9</v>
      </c>
      <c r="F424" s="78">
        <f t="shared" si="28"/>
        <v>107908</v>
      </c>
      <c r="G424" s="79">
        <f t="shared" si="29"/>
        <v>109148</v>
      </c>
      <c r="H424" s="80">
        <v>21001</v>
      </c>
      <c r="I424" s="81">
        <v>16513</v>
      </c>
      <c r="J424" s="80">
        <v>51898</v>
      </c>
      <c r="K424" s="81">
        <v>56341</v>
      </c>
      <c r="L424" s="80">
        <v>22872</v>
      </c>
      <c r="M424" s="80">
        <v>5333</v>
      </c>
      <c r="N424" s="80">
        <v>6782</v>
      </c>
      <c r="O424" s="81">
        <v>24163</v>
      </c>
      <c r="P424" s="81">
        <v>4318</v>
      </c>
      <c r="Q424" s="81">
        <v>7776</v>
      </c>
      <c r="R424" s="80">
        <v>22</v>
      </c>
      <c r="S424" s="81">
        <v>37</v>
      </c>
      <c r="T424" s="78">
        <f t="shared" si="30"/>
        <v>0</v>
      </c>
      <c r="U424" s="79">
        <f t="shared" si="31"/>
        <v>0</v>
      </c>
      <c r="V424" s="80"/>
      <c r="W424" s="81"/>
      <c r="X424" s="80"/>
      <c r="Y424" s="81"/>
      <c r="Z424" s="80"/>
      <c r="AA424" s="80"/>
      <c r="AB424" s="80"/>
      <c r="AC424" s="81"/>
      <c r="AD424" s="81"/>
      <c r="AE424" s="81"/>
      <c r="AF424" s="80"/>
      <c r="AG424" s="81"/>
    </row>
    <row r="425" spans="1:33" s="44" customFormat="1" ht="15" customHeight="1">
      <c r="A425" s="3" t="s">
        <v>524</v>
      </c>
      <c r="B425" s="2" t="s">
        <v>546</v>
      </c>
      <c r="C425" s="193"/>
      <c r="D425" s="93">
        <v>222062</v>
      </c>
      <c r="E425" s="93">
        <v>9</v>
      </c>
      <c r="F425" s="78">
        <f t="shared" si="28"/>
        <v>111192</v>
      </c>
      <c r="G425" s="79">
        <f t="shared" si="29"/>
        <v>115636</v>
      </c>
      <c r="H425" s="80">
        <v>45741</v>
      </c>
      <c r="I425" s="81">
        <v>44702</v>
      </c>
      <c r="J425" s="80">
        <v>39379</v>
      </c>
      <c r="K425" s="81">
        <v>43870</v>
      </c>
      <c r="L425" s="80">
        <v>18038</v>
      </c>
      <c r="M425" s="80">
        <v>6011</v>
      </c>
      <c r="N425" s="80">
        <v>1998</v>
      </c>
      <c r="O425" s="81">
        <v>19005</v>
      </c>
      <c r="P425" s="81">
        <v>6076</v>
      </c>
      <c r="Q425" s="81">
        <v>1965</v>
      </c>
      <c r="R425" s="80">
        <v>25</v>
      </c>
      <c r="S425" s="81">
        <v>18</v>
      </c>
      <c r="T425" s="78">
        <f t="shared" si="30"/>
        <v>0</v>
      </c>
      <c r="U425" s="79">
        <f t="shared" si="31"/>
        <v>0</v>
      </c>
      <c r="V425" s="80"/>
      <c r="W425" s="81"/>
      <c r="X425" s="80"/>
      <c r="Y425" s="81"/>
      <c r="Z425" s="80"/>
      <c r="AA425" s="80"/>
      <c r="AB425" s="80"/>
      <c r="AC425" s="81"/>
      <c r="AD425" s="81"/>
      <c r="AE425" s="81"/>
      <c r="AF425" s="80"/>
      <c r="AG425" s="81"/>
    </row>
    <row r="426" spans="1:33" s="44" customFormat="1" ht="15" customHeight="1">
      <c r="A426" s="94" t="s">
        <v>524</v>
      </c>
      <c r="B426" s="2" t="s">
        <v>547</v>
      </c>
      <c r="C426" s="193" t="s">
        <v>576</v>
      </c>
      <c r="D426" s="93" t="s">
        <v>548</v>
      </c>
      <c r="E426" s="93">
        <v>12</v>
      </c>
      <c r="F426" s="78">
        <f t="shared" si="28"/>
        <v>0</v>
      </c>
      <c r="G426" s="79">
        <f t="shared" si="29"/>
        <v>0</v>
      </c>
      <c r="H426" s="80"/>
      <c r="I426" s="81"/>
      <c r="J426" s="80"/>
      <c r="K426" s="81"/>
      <c r="L426" s="80"/>
      <c r="M426" s="80"/>
      <c r="N426" s="80"/>
      <c r="O426" s="81"/>
      <c r="P426" s="81"/>
      <c r="Q426" s="81"/>
      <c r="R426" s="80"/>
      <c r="S426" s="81"/>
      <c r="T426" s="78">
        <f t="shared" si="30"/>
        <v>0</v>
      </c>
      <c r="U426" s="79">
        <f t="shared" si="31"/>
        <v>0</v>
      </c>
      <c r="V426" s="80"/>
      <c r="W426" s="81"/>
      <c r="X426" s="80"/>
      <c r="Y426" s="81"/>
      <c r="Z426" s="80"/>
      <c r="AA426" s="80"/>
      <c r="AB426" s="80"/>
      <c r="AC426" s="81"/>
      <c r="AD426" s="81"/>
      <c r="AE426" s="81"/>
      <c r="AF426" s="80"/>
      <c r="AG426" s="81"/>
    </row>
    <row r="427" spans="1:33">
      <c r="A427" s="94" t="s">
        <v>524</v>
      </c>
      <c r="B427" s="96" t="s">
        <v>549</v>
      </c>
      <c r="C427" s="97"/>
      <c r="D427" s="93">
        <v>219596</v>
      </c>
      <c r="E427" s="93">
        <v>13</v>
      </c>
      <c r="F427" s="78">
        <f t="shared" si="28"/>
        <v>0</v>
      </c>
      <c r="G427" s="79">
        <f t="shared" si="29"/>
        <v>0</v>
      </c>
      <c r="H427" s="80"/>
      <c r="I427" s="81"/>
      <c r="J427" s="80"/>
      <c r="K427" s="81"/>
      <c r="L427" s="80"/>
      <c r="M427" s="80"/>
      <c r="N427" s="80"/>
      <c r="O427" s="81"/>
      <c r="P427" s="81"/>
      <c r="Q427" s="81"/>
      <c r="R427" s="80"/>
      <c r="S427" s="81"/>
      <c r="T427" s="78">
        <f t="shared" si="30"/>
        <v>0</v>
      </c>
      <c r="U427" s="79">
        <f t="shared" si="31"/>
        <v>0</v>
      </c>
      <c r="V427" s="80"/>
      <c r="W427" s="81"/>
      <c r="X427" s="80"/>
      <c r="Y427" s="81"/>
      <c r="Z427" s="80"/>
      <c r="AA427" s="80"/>
      <c r="AB427" s="80"/>
      <c r="AC427" s="81"/>
      <c r="AD427" s="81"/>
      <c r="AE427" s="81"/>
      <c r="AF427" s="80"/>
      <c r="AG427" s="81"/>
    </row>
    <row r="428" spans="1:33">
      <c r="A428" s="3" t="s">
        <v>524</v>
      </c>
      <c r="B428" s="2" t="s">
        <v>550</v>
      </c>
      <c r="C428" s="1"/>
      <c r="D428" s="93">
        <v>219921</v>
      </c>
      <c r="E428" s="93">
        <v>13</v>
      </c>
      <c r="F428" s="78">
        <f t="shared" si="28"/>
        <v>0</v>
      </c>
      <c r="G428" s="79">
        <f t="shared" si="29"/>
        <v>0</v>
      </c>
      <c r="H428" s="80"/>
      <c r="I428" s="81"/>
      <c r="J428" s="80"/>
      <c r="K428" s="81"/>
      <c r="L428" s="80"/>
      <c r="M428" s="80"/>
      <c r="N428" s="80"/>
      <c r="O428" s="81"/>
      <c r="P428" s="81"/>
      <c r="Q428" s="81"/>
      <c r="R428" s="80"/>
      <c r="S428" s="81"/>
      <c r="T428" s="78">
        <f t="shared" si="30"/>
        <v>0</v>
      </c>
      <c r="U428" s="79">
        <f t="shared" si="31"/>
        <v>0</v>
      </c>
      <c r="V428" s="80"/>
      <c r="W428" s="81"/>
      <c r="X428" s="80"/>
      <c r="Y428" s="81"/>
      <c r="Z428" s="80"/>
      <c r="AA428" s="80"/>
      <c r="AB428" s="80"/>
      <c r="AC428" s="81"/>
      <c r="AD428" s="81"/>
      <c r="AE428" s="81"/>
      <c r="AF428" s="80"/>
      <c r="AG428" s="81"/>
    </row>
    <row r="429" spans="1:33">
      <c r="A429" s="94" t="s">
        <v>524</v>
      </c>
      <c r="B429" s="2" t="s">
        <v>551</v>
      </c>
      <c r="C429" s="95"/>
      <c r="D429" s="93">
        <v>221591</v>
      </c>
      <c r="E429" s="93">
        <v>13</v>
      </c>
      <c r="F429" s="78">
        <f t="shared" si="28"/>
        <v>0</v>
      </c>
      <c r="G429" s="79">
        <f t="shared" si="29"/>
        <v>0</v>
      </c>
      <c r="H429" s="80"/>
      <c r="I429" s="81"/>
      <c r="J429" s="80"/>
      <c r="K429" s="81"/>
      <c r="L429" s="80"/>
      <c r="M429" s="80"/>
      <c r="N429" s="80"/>
      <c r="O429" s="81"/>
      <c r="P429" s="81"/>
      <c r="Q429" s="81"/>
      <c r="R429" s="80"/>
      <c r="S429" s="81"/>
      <c r="T429" s="78">
        <f t="shared" si="30"/>
        <v>0</v>
      </c>
      <c r="U429" s="79">
        <f t="shared" si="31"/>
        <v>0</v>
      </c>
      <c r="V429" s="80"/>
      <c r="W429" s="81"/>
      <c r="X429" s="80"/>
      <c r="Y429" s="81"/>
      <c r="Z429" s="80"/>
      <c r="AA429" s="80"/>
      <c r="AB429" s="80"/>
      <c r="AC429" s="81"/>
      <c r="AD429" s="81"/>
      <c r="AE429" s="81"/>
      <c r="AF429" s="80"/>
      <c r="AG429" s="81"/>
    </row>
    <row r="430" spans="1:33">
      <c r="A430" s="94" t="s">
        <v>524</v>
      </c>
      <c r="B430" s="96" t="s">
        <v>552</v>
      </c>
      <c r="C430" s="97"/>
      <c r="D430" s="93">
        <v>221430</v>
      </c>
      <c r="E430" s="93">
        <v>13</v>
      </c>
      <c r="F430" s="78">
        <f t="shared" si="28"/>
        <v>0</v>
      </c>
      <c r="G430" s="79">
        <f t="shared" si="29"/>
        <v>0</v>
      </c>
      <c r="H430" s="80"/>
      <c r="I430" s="81"/>
      <c r="J430" s="80"/>
      <c r="K430" s="81"/>
      <c r="L430" s="80"/>
      <c r="M430" s="80"/>
      <c r="N430" s="80"/>
      <c r="O430" s="81"/>
      <c r="P430" s="81"/>
      <c r="Q430" s="81"/>
      <c r="R430" s="80"/>
      <c r="S430" s="81"/>
      <c r="T430" s="78">
        <f t="shared" si="30"/>
        <v>0</v>
      </c>
      <c r="U430" s="79">
        <f t="shared" si="31"/>
        <v>0</v>
      </c>
      <c r="V430" s="80"/>
      <c r="W430" s="81"/>
      <c r="X430" s="80"/>
      <c r="Y430" s="81"/>
      <c r="Z430" s="80"/>
      <c r="AA430" s="80"/>
      <c r="AB430" s="80"/>
      <c r="AC430" s="81"/>
      <c r="AD430" s="81"/>
      <c r="AE430" s="81"/>
      <c r="AF430" s="80"/>
      <c r="AG430" s="81"/>
    </row>
    <row r="431" spans="1:33">
      <c r="A431" s="3" t="s">
        <v>524</v>
      </c>
      <c r="B431" s="2" t="s">
        <v>553</v>
      </c>
      <c r="C431" s="1"/>
      <c r="D431" s="93">
        <v>219994</v>
      </c>
      <c r="E431" s="93">
        <v>13</v>
      </c>
      <c r="F431" s="78">
        <f t="shared" si="28"/>
        <v>0</v>
      </c>
      <c r="G431" s="79">
        <f t="shared" si="29"/>
        <v>0</v>
      </c>
      <c r="H431" s="80"/>
      <c r="I431" s="81"/>
      <c r="J431" s="80"/>
      <c r="K431" s="81"/>
      <c r="L431" s="80"/>
      <c r="M431" s="80"/>
      <c r="N431" s="80"/>
      <c r="O431" s="81"/>
      <c r="P431" s="81"/>
      <c r="Q431" s="81"/>
      <c r="R431" s="80"/>
      <c r="S431" s="81"/>
      <c r="T431" s="78">
        <f t="shared" si="30"/>
        <v>0</v>
      </c>
      <c r="U431" s="79">
        <f t="shared" si="31"/>
        <v>0</v>
      </c>
      <c r="V431" s="80"/>
      <c r="W431" s="81"/>
      <c r="X431" s="80"/>
      <c r="Y431" s="81"/>
      <c r="Z431" s="80"/>
      <c r="AA431" s="80"/>
      <c r="AB431" s="80"/>
      <c r="AC431" s="81"/>
      <c r="AD431" s="81"/>
      <c r="AE431" s="81"/>
      <c r="AF431" s="80"/>
      <c r="AG431" s="81"/>
    </row>
    <row r="432" spans="1:33">
      <c r="A432" s="94" t="s">
        <v>524</v>
      </c>
      <c r="B432" s="2" t="s">
        <v>554</v>
      </c>
      <c r="C432" s="95"/>
      <c r="D432" s="93">
        <v>220127</v>
      </c>
      <c r="E432" s="93">
        <v>13</v>
      </c>
      <c r="F432" s="78">
        <f t="shared" si="28"/>
        <v>0</v>
      </c>
      <c r="G432" s="79">
        <f t="shared" si="29"/>
        <v>0</v>
      </c>
      <c r="H432" s="80"/>
      <c r="I432" s="81"/>
      <c r="J432" s="80"/>
      <c r="K432" s="81"/>
      <c r="L432" s="80"/>
      <c r="M432" s="80"/>
      <c r="N432" s="80"/>
      <c r="O432" s="81"/>
      <c r="P432" s="81"/>
      <c r="Q432" s="81"/>
      <c r="R432" s="80"/>
      <c r="S432" s="81"/>
      <c r="T432" s="78">
        <f t="shared" si="30"/>
        <v>0</v>
      </c>
      <c r="U432" s="79">
        <f t="shared" si="31"/>
        <v>0</v>
      </c>
      <c r="V432" s="80"/>
      <c r="W432" s="81"/>
      <c r="X432" s="80"/>
      <c r="Y432" s="81"/>
      <c r="Z432" s="80"/>
      <c r="AA432" s="80"/>
      <c r="AB432" s="80"/>
      <c r="AC432" s="81"/>
      <c r="AD432" s="81"/>
      <c r="AE432" s="81"/>
      <c r="AF432" s="80"/>
      <c r="AG432" s="81"/>
    </row>
    <row r="433" spans="1:33">
      <c r="A433" s="94" t="s">
        <v>524</v>
      </c>
      <c r="B433" s="96" t="s">
        <v>555</v>
      </c>
      <c r="C433" s="97"/>
      <c r="D433" s="93">
        <v>220251</v>
      </c>
      <c r="E433" s="93">
        <v>13</v>
      </c>
      <c r="F433" s="78">
        <f t="shared" si="28"/>
        <v>0</v>
      </c>
      <c r="G433" s="79">
        <f t="shared" si="29"/>
        <v>0</v>
      </c>
      <c r="H433" s="80"/>
      <c r="I433" s="81"/>
      <c r="J433" s="80"/>
      <c r="K433" s="81"/>
      <c r="L433" s="80"/>
      <c r="M433" s="80"/>
      <c r="N433" s="80"/>
      <c r="O433" s="81"/>
      <c r="P433" s="81"/>
      <c r="Q433" s="81"/>
      <c r="R433" s="80"/>
      <c r="S433" s="81"/>
      <c r="T433" s="78">
        <f t="shared" si="30"/>
        <v>0</v>
      </c>
      <c r="U433" s="79">
        <f t="shared" si="31"/>
        <v>0</v>
      </c>
      <c r="V433" s="80"/>
      <c r="W433" s="81"/>
      <c r="X433" s="80"/>
      <c r="Y433" s="81"/>
      <c r="Z433" s="80"/>
      <c r="AA433" s="80"/>
      <c r="AB433" s="80"/>
      <c r="AC433" s="81"/>
      <c r="AD433" s="81"/>
      <c r="AE433" s="81"/>
      <c r="AF433" s="80"/>
      <c r="AG433" s="81"/>
    </row>
    <row r="434" spans="1:33">
      <c r="A434" s="3" t="s">
        <v>524</v>
      </c>
      <c r="B434" s="2" t="s">
        <v>556</v>
      </c>
      <c r="C434" s="1"/>
      <c r="D434" s="93">
        <v>220279</v>
      </c>
      <c r="E434" s="93">
        <v>13</v>
      </c>
      <c r="F434" s="78">
        <f t="shared" si="28"/>
        <v>0</v>
      </c>
      <c r="G434" s="79">
        <f t="shared" si="29"/>
        <v>0</v>
      </c>
      <c r="H434" s="80"/>
      <c r="I434" s="81"/>
      <c r="J434" s="80"/>
      <c r="K434" s="81"/>
      <c r="L434" s="80"/>
      <c r="M434" s="80"/>
      <c r="N434" s="80"/>
      <c r="O434" s="81"/>
      <c r="P434" s="81"/>
      <c r="Q434" s="81"/>
      <c r="R434" s="80"/>
      <c r="S434" s="81"/>
      <c r="T434" s="78">
        <f t="shared" si="30"/>
        <v>0</v>
      </c>
      <c r="U434" s="79">
        <f t="shared" si="31"/>
        <v>0</v>
      </c>
      <c r="V434" s="80"/>
      <c r="W434" s="81"/>
      <c r="X434" s="80"/>
      <c r="Y434" s="81"/>
      <c r="Z434" s="80"/>
      <c r="AA434" s="80"/>
      <c r="AB434" s="80"/>
      <c r="AC434" s="81"/>
      <c r="AD434" s="81"/>
      <c r="AE434" s="81"/>
      <c r="AF434" s="80"/>
      <c r="AG434" s="81"/>
    </row>
    <row r="435" spans="1:33">
      <c r="A435" s="94" t="s">
        <v>524</v>
      </c>
      <c r="B435" s="2" t="s">
        <v>557</v>
      </c>
      <c r="C435" s="95"/>
      <c r="D435" s="93">
        <v>220321</v>
      </c>
      <c r="E435" s="93">
        <v>13</v>
      </c>
      <c r="F435" s="78">
        <f t="shared" si="28"/>
        <v>0</v>
      </c>
      <c r="G435" s="79">
        <f t="shared" si="29"/>
        <v>0</v>
      </c>
      <c r="H435" s="80"/>
      <c r="I435" s="81"/>
      <c r="J435" s="80"/>
      <c r="K435" s="81"/>
      <c r="L435" s="80"/>
      <c r="M435" s="80"/>
      <c r="N435" s="80"/>
      <c r="O435" s="81"/>
      <c r="P435" s="81"/>
      <c r="Q435" s="81"/>
      <c r="R435" s="80"/>
      <c r="S435" s="81"/>
      <c r="T435" s="78">
        <f t="shared" si="30"/>
        <v>0</v>
      </c>
      <c r="U435" s="79">
        <f t="shared" si="31"/>
        <v>0</v>
      </c>
      <c r="V435" s="80"/>
      <c r="W435" s="81"/>
      <c r="X435" s="80"/>
      <c r="Y435" s="81"/>
      <c r="Z435" s="80"/>
      <c r="AA435" s="80"/>
      <c r="AB435" s="80"/>
      <c r="AC435" s="81"/>
      <c r="AD435" s="81"/>
      <c r="AE435" s="81"/>
      <c r="AF435" s="80"/>
      <c r="AG435" s="81"/>
    </row>
    <row r="436" spans="1:33">
      <c r="A436" s="94" t="s">
        <v>524</v>
      </c>
      <c r="B436" s="96" t="s">
        <v>558</v>
      </c>
      <c r="C436" s="97"/>
      <c r="D436" s="93">
        <v>220394</v>
      </c>
      <c r="E436" s="93">
        <v>13</v>
      </c>
      <c r="F436" s="78">
        <f t="shared" ref="F436:F499" si="32">SUM(H436,J436,L436,M436,N436,R436)</f>
        <v>0</v>
      </c>
      <c r="G436" s="79">
        <f t="shared" ref="G436:G499" si="33">SUM(I436,K436,O436,P436,Q436,S436)</f>
        <v>0</v>
      </c>
      <c r="H436" s="80"/>
      <c r="I436" s="81"/>
      <c r="J436" s="80"/>
      <c r="K436" s="81"/>
      <c r="L436" s="80"/>
      <c r="M436" s="80"/>
      <c r="N436" s="80"/>
      <c r="O436" s="81"/>
      <c r="P436" s="81"/>
      <c r="Q436" s="81"/>
      <c r="R436" s="80"/>
      <c r="S436" s="81"/>
      <c r="T436" s="78">
        <f t="shared" ref="T436:T481" si="34">SUM(V436,X436,Z436,AA436,AB436,AF436)</f>
        <v>0</v>
      </c>
      <c r="U436" s="79">
        <f t="shared" ref="U436:U499" si="35">SUM(W436,Y436,AC436,AD436,AE436,AG436)</f>
        <v>0</v>
      </c>
      <c r="V436" s="80"/>
      <c r="W436" s="81"/>
      <c r="X436" s="80"/>
      <c r="Y436" s="81"/>
      <c r="Z436" s="80"/>
      <c r="AA436" s="80"/>
      <c r="AB436" s="80"/>
      <c r="AC436" s="81"/>
      <c r="AD436" s="81"/>
      <c r="AE436" s="81"/>
      <c r="AF436" s="80"/>
      <c r="AG436" s="81"/>
    </row>
    <row r="437" spans="1:33">
      <c r="A437" s="3" t="s">
        <v>524</v>
      </c>
      <c r="B437" s="2" t="s">
        <v>559</v>
      </c>
      <c r="C437" s="1"/>
      <c r="D437" s="93">
        <v>221616</v>
      </c>
      <c r="E437" s="93">
        <v>13</v>
      </c>
      <c r="F437" s="78">
        <f t="shared" si="32"/>
        <v>0</v>
      </c>
      <c r="G437" s="79">
        <f t="shared" si="33"/>
        <v>0</v>
      </c>
      <c r="H437" s="80"/>
      <c r="I437" s="81"/>
      <c r="J437" s="80"/>
      <c r="K437" s="81"/>
      <c r="L437" s="80"/>
      <c r="M437" s="80"/>
      <c r="N437" s="80"/>
      <c r="O437" s="81"/>
      <c r="P437" s="81"/>
      <c r="Q437" s="81"/>
      <c r="R437" s="80"/>
      <c r="S437" s="81"/>
      <c r="T437" s="78">
        <f t="shared" si="34"/>
        <v>0</v>
      </c>
      <c r="U437" s="79">
        <f t="shared" si="35"/>
        <v>0</v>
      </c>
      <c r="V437" s="80"/>
      <c r="W437" s="81"/>
      <c r="X437" s="80"/>
      <c r="Y437" s="81"/>
      <c r="Z437" s="80"/>
      <c r="AA437" s="80"/>
      <c r="AB437" s="80"/>
      <c r="AC437" s="81"/>
      <c r="AD437" s="81"/>
      <c r="AE437" s="81"/>
      <c r="AF437" s="80"/>
      <c r="AG437" s="81"/>
    </row>
    <row r="438" spans="1:33">
      <c r="A438" s="94" t="s">
        <v>524</v>
      </c>
      <c r="B438" s="2" t="s">
        <v>560</v>
      </c>
      <c r="C438" s="95"/>
      <c r="D438" s="93">
        <v>221625</v>
      </c>
      <c r="E438" s="93">
        <v>13</v>
      </c>
      <c r="F438" s="78">
        <f t="shared" si="32"/>
        <v>0</v>
      </c>
      <c r="G438" s="79">
        <f t="shared" si="33"/>
        <v>0</v>
      </c>
      <c r="H438" s="80"/>
      <c r="I438" s="81"/>
      <c r="J438" s="80"/>
      <c r="K438" s="81"/>
      <c r="L438" s="80"/>
      <c r="M438" s="80"/>
      <c r="N438" s="80"/>
      <c r="O438" s="81"/>
      <c r="P438" s="81"/>
      <c r="Q438" s="81"/>
      <c r="R438" s="80"/>
      <c r="S438" s="81"/>
      <c r="T438" s="78">
        <f t="shared" si="34"/>
        <v>0</v>
      </c>
      <c r="U438" s="79">
        <f t="shared" si="35"/>
        <v>0</v>
      </c>
      <c r="V438" s="80"/>
      <c r="W438" s="81"/>
      <c r="X438" s="80"/>
      <c r="Y438" s="81"/>
      <c r="Z438" s="80"/>
      <c r="AA438" s="80"/>
      <c r="AB438" s="80"/>
      <c r="AC438" s="81"/>
      <c r="AD438" s="81"/>
      <c r="AE438" s="81"/>
      <c r="AF438" s="80"/>
      <c r="AG438" s="81"/>
    </row>
    <row r="439" spans="1:33">
      <c r="A439" s="94" t="s">
        <v>524</v>
      </c>
      <c r="B439" s="96" t="s">
        <v>561</v>
      </c>
      <c r="C439" s="97"/>
      <c r="D439" s="93">
        <v>220640</v>
      </c>
      <c r="E439" s="93">
        <v>13</v>
      </c>
      <c r="F439" s="78">
        <f t="shared" si="32"/>
        <v>0</v>
      </c>
      <c r="G439" s="79">
        <f t="shared" si="33"/>
        <v>0</v>
      </c>
      <c r="H439" s="80"/>
      <c r="I439" s="81"/>
      <c r="J439" s="80"/>
      <c r="K439" s="81"/>
      <c r="L439" s="80"/>
      <c r="M439" s="80"/>
      <c r="N439" s="80"/>
      <c r="O439" s="81"/>
      <c r="P439" s="81"/>
      <c r="Q439" s="81"/>
      <c r="R439" s="80"/>
      <c r="S439" s="81"/>
      <c r="T439" s="78">
        <f t="shared" si="34"/>
        <v>0</v>
      </c>
      <c r="U439" s="79">
        <f t="shared" si="35"/>
        <v>0</v>
      </c>
      <c r="V439" s="80"/>
      <c r="W439" s="81"/>
      <c r="X439" s="80"/>
      <c r="Y439" s="81"/>
      <c r="Z439" s="80"/>
      <c r="AA439" s="80"/>
      <c r="AB439" s="80"/>
      <c r="AC439" s="81"/>
      <c r="AD439" s="81"/>
      <c r="AE439" s="81"/>
      <c r="AF439" s="80"/>
      <c r="AG439" s="81"/>
    </row>
    <row r="440" spans="1:33">
      <c r="A440" s="3" t="s">
        <v>524</v>
      </c>
      <c r="B440" s="2" t="s">
        <v>562</v>
      </c>
      <c r="C440" s="1"/>
      <c r="D440" s="93">
        <v>220756</v>
      </c>
      <c r="E440" s="93">
        <v>13</v>
      </c>
      <c r="F440" s="78">
        <f t="shared" si="32"/>
        <v>0</v>
      </c>
      <c r="G440" s="79">
        <f t="shared" si="33"/>
        <v>0</v>
      </c>
      <c r="H440" s="80"/>
      <c r="I440" s="81"/>
      <c r="J440" s="80"/>
      <c r="K440" s="81"/>
      <c r="L440" s="80"/>
      <c r="M440" s="80"/>
      <c r="N440" s="80"/>
      <c r="O440" s="81"/>
      <c r="P440" s="81"/>
      <c r="Q440" s="81"/>
      <c r="R440" s="80"/>
      <c r="S440" s="81"/>
      <c r="T440" s="78">
        <f t="shared" si="34"/>
        <v>0</v>
      </c>
      <c r="U440" s="79">
        <f t="shared" si="35"/>
        <v>0</v>
      </c>
      <c r="V440" s="80"/>
      <c r="W440" s="81"/>
      <c r="X440" s="80"/>
      <c r="Y440" s="81"/>
      <c r="Z440" s="80"/>
      <c r="AA440" s="80"/>
      <c r="AB440" s="80"/>
      <c r="AC440" s="81"/>
      <c r="AD440" s="81"/>
      <c r="AE440" s="81"/>
      <c r="AF440" s="80"/>
      <c r="AG440" s="81"/>
    </row>
    <row r="441" spans="1:33">
      <c r="A441" s="94" t="s">
        <v>524</v>
      </c>
      <c r="B441" s="2" t="s">
        <v>563</v>
      </c>
      <c r="C441" s="95"/>
      <c r="D441" s="93">
        <v>221607</v>
      </c>
      <c r="E441" s="93">
        <v>13</v>
      </c>
      <c r="F441" s="78">
        <f t="shared" si="32"/>
        <v>0</v>
      </c>
      <c r="G441" s="79">
        <f t="shared" si="33"/>
        <v>0</v>
      </c>
      <c r="H441" s="80"/>
      <c r="I441" s="81"/>
      <c r="J441" s="80"/>
      <c r="K441" s="81"/>
      <c r="L441" s="80"/>
      <c r="M441" s="80"/>
      <c r="N441" s="80"/>
      <c r="O441" s="81"/>
      <c r="P441" s="81"/>
      <c r="Q441" s="81"/>
      <c r="R441" s="80"/>
      <c r="S441" s="81"/>
      <c r="T441" s="78">
        <f t="shared" si="34"/>
        <v>0</v>
      </c>
      <c r="U441" s="79">
        <f t="shared" si="35"/>
        <v>0</v>
      </c>
      <c r="V441" s="80"/>
      <c r="W441" s="81"/>
      <c r="X441" s="80"/>
      <c r="Y441" s="81"/>
      <c r="Z441" s="80"/>
      <c r="AA441" s="80"/>
      <c r="AB441" s="80"/>
      <c r="AC441" s="81"/>
      <c r="AD441" s="81"/>
      <c r="AE441" s="81"/>
      <c r="AF441" s="80"/>
      <c r="AG441" s="81"/>
    </row>
    <row r="442" spans="1:33">
      <c r="A442" s="94" t="s">
        <v>524</v>
      </c>
      <c r="B442" s="96" t="s">
        <v>564</v>
      </c>
      <c r="C442" s="97"/>
      <c r="D442" s="93">
        <v>220853</v>
      </c>
      <c r="E442" s="93">
        <v>13</v>
      </c>
      <c r="F442" s="78">
        <f t="shared" si="32"/>
        <v>0</v>
      </c>
      <c r="G442" s="79">
        <f t="shared" si="33"/>
        <v>0</v>
      </c>
      <c r="H442" s="80"/>
      <c r="I442" s="81"/>
      <c r="J442" s="80"/>
      <c r="K442" s="81"/>
      <c r="L442" s="80"/>
      <c r="M442" s="80"/>
      <c r="N442" s="80"/>
      <c r="O442" s="81"/>
      <c r="P442" s="81"/>
      <c r="Q442" s="81"/>
      <c r="R442" s="80"/>
      <c r="S442" s="81"/>
      <c r="T442" s="78">
        <f t="shared" si="34"/>
        <v>0</v>
      </c>
      <c r="U442" s="79">
        <f t="shared" si="35"/>
        <v>0</v>
      </c>
      <c r="V442" s="80"/>
      <c r="W442" s="81"/>
      <c r="X442" s="80"/>
      <c r="Y442" s="81"/>
      <c r="Z442" s="80"/>
      <c r="AA442" s="80"/>
      <c r="AB442" s="80"/>
      <c r="AC442" s="81"/>
      <c r="AD442" s="81"/>
      <c r="AE442" s="81"/>
      <c r="AF442" s="80"/>
      <c r="AG442" s="81"/>
    </row>
    <row r="443" spans="1:33">
      <c r="A443" s="3" t="s">
        <v>524</v>
      </c>
      <c r="B443" s="2" t="s">
        <v>565</v>
      </c>
      <c r="C443" s="1"/>
      <c r="D443" s="93">
        <v>221050</v>
      </c>
      <c r="E443" s="93">
        <v>13</v>
      </c>
      <c r="F443" s="78">
        <f t="shared" si="32"/>
        <v>0</v>
      </c>
      <c r="G443" s="79">
        <f t="shared" si="33"/>
        <v>0</v>
      </c>
      <c r="H443" s="80"/>
      <c r="I443" s="81"/>
      <c r="J443" s="80"/>
      <c r="K443" s="81"/>
      <c r="L443" s="80"/>
      <c r="M443" s="80"/>
      <c r="N443" s="80"/>
      <c r="O443" s="81"/>
      <c r="P443" s="81"/>
      <c r="Q443" s="81"/>
      <c r="R443" s="80"/>
      <c r="S443" s="81"/>
      <c r="T443" s="78">
        <f t="shared" si="34"/>
        <v>0</v>
      </c>
      <c r="U443" s="79">
        <f t="shared" si="35"/>
        <v>0</v>
      </c>
      <c r="V443" s="80"/>
      <c r="W443" s="81"/>
      <c r="X443" s="80"/>
      <c r="Y443" s="81"/>
      <c r="Z443" s="80"/>
      <c r="AA443" s="80"/>
      <c r="AB443" s="80"/>
      <c r="AC443" s="81"/>
      <c r="AD443" s="81"/>
      <c r="AE443" s="81"/>
      <c r="AF443" s="80"/>
      <c r="AG443" s="81"/>
    </row>
    <row r="444" spans="1:33">
      <c r="A444" s="94" t="s">
        <v>524</v>
      </c>
      <c r="B444" s="2" t="s">
        <v>566</v>
      </c>
      <c r="C444" s="95"/>
      <c r="D444" s="93">
        <v>221102</v>
      </c>
      <c r="E444" s="93">
        <v>13</v>
      </c>
      <c r="F444" s="78">
        <f t="shared" si="32"/>
        <v>0</v>
      </c>
      <c r="G444" s="79">
        <f t="shared" si="33"/>
        <v>0</v>
      </c>
      <c r="H444" s="80"/>
      <c r="I444" s="81"/>
      <c r="J444" s="80"/>
      <c r="K444" s="81"/>
      <c r="L444" s="80"/>
      <c r="M444" s="80"/>
      <c r="N444" s="80"/>
      <c r="O444" s="81"/>
      <c r="P444" s="81"/>
      <c r="Q444" s="81"/>
      <c r="R444" s="80"/>
      <c r="S444" s="81"/>
      <c r="T444" s="78">
        <f t="shared" si="34"/>
        <v>0</v>
      </c>
      <c r="U444" s="79">
        <f t="shared" si="35"/>
        <v>0</v>
      </c>
      <c r="V444" s="80"/>
      <c r="W444" s="81"/>
      <c r="X444" s="80"/>
      <c r="Y444" s="81"/>
      <c r="Z444" s="80"/>
      <c r="AA444" s="80"/>
      <c r="AB444" s="80"/>
      <c r="AC444" s="81"/>
      <c r="AD444" s="81"/>
      <c r="AE444" s="81"/>
      <c r="AF444" s="80"/>
      <c r="AG444" s="81"/>
    </row>
    <row r="445" spans="1:33">
      <c r="A445" s="94" t="s">
        <v>524</v>
      </c>
      <c r="B445" s="96" t="s">
        <v>567</v>
      </c>
      <c r="C445" s="97"/>
      <c r="D445" s="93">
        <v>248925</v>
      </c>
      <c r="E445" s="93">
        <v>13</v>
      </c>
      <c r="F445" s="78">
        <f t="shared" si="32"/>
        <v>0</v>
      </c>
      <c r="G445" s="79">
        <f t="shared" si="33"/>
        <v>0</v>
      </c>
      <c r="H445" s="80"/>
      <c r="I445" s="81"/>
      <c r="J445" s="80"/>
      <c r="K445" s="81"/>
      <c r="L445" s="80"/>
      <c r="M445" s="80"/>
      <c r="N445" s="80"/>
      <c r="O445" s="81"/>
      <c r="P445" s="81"/>
      <c r="Q445" s="81"/>
      <c r="R445" s="80"/>
      <c r="S445" s="81"/>
      <c r="T445" s="78">
        <f t="shared" si="34"/>
        <v>0</v>
      </c>
      <c r="U445" s="79">
        <f t="shared" si="35"/>
        <v>0</v>
      </c>
      <c r="V445" s="80"/>
      <c r="W445" s="81"/>
      <c r="X445" s="80"/>
      <c r="Y445" s="81"/>
      <c r="Z445" s="80"/>
      <c r="AA445" s="80"/>
      <c r="AB445" s="80"/>
      <c r="AC445" s="81"/>
      <c r="AD445" s="81"/>
      <c r="AE445" s="81"/>
      <c r="AF445" s="80"/>
      <c r="AG445" s="81"/>
    </row>
    <row r="446" spans="1:33">
      <c r="A446" s="3" t="s">
        <v>524</v>
      </c>
      <c r="B446" s="2" t="s">
        <v>568</v>
      </c>
      <c r="C446" s="1"/>
      <c r="D446" s="93">
        <v>221236</v>
      </c>
      <c r="E446" s="93">
        <v>13</v>
      </c>
      <c r="F446" s="78">
        <f t="shared" si="32"/>
        <v>0</v>
      </c>
      <c r="G446" s="79">
        <f t="shared" si="33"/>
        <v>0</v>
      </c>
      <c r="H446" s="80"/>
      <c r="I446" s="81"/>
      <c r="J446" s="80"/>
      <c r="K446" s="81"/>
      <c r="L446" s="80"/>
      <c r="M446" s="80"/>
      <c r="N446" s="80"/>
      <c r="O446" s="81"/>
      <c r="P446" s="81"/>
      <c r="Q446" s="81"/>
      <c r="R446" s="80"/>
      <c r="S446" s="81"/>
      <c r="T446" s="78">
        <f t="shared" si="34"/>
        <v>0</v>
      </c>
      <c r="U446" s="79">
        <f t="shared" si="35"/>
        <v>0</v>
      </c>
      <c r="V446" s="80"/>
      <c r="W446" s="81"/>
      <c r="X446" s="80"/>
      <c r="Y446" s="81"/>
      <c r="Z446" s="80"/>
      <c r="AA446" s="80"/>
      <c r="AB446" s="80"/>
      <c r="AC446" s="81"/>
      <c r="AD446" s="81"/>
      <c r="AE446" s="81"/>
      <c r="AF446" s="80"/>
      <c r="AG446" s="81"/>
    </row>
    <row r="447" spans="1:33">
      <c r="A447" s="94" t="s">
        <v>524</v>
      </c>
      <c r="B447" s="2" t="s">
        <v>569</v>
      </c>
      <c r="C447" s="95"/>
      <c r="D447" s="93">
        <v>221582</v>
      </c>
      <c r="E447" s="93">
        <v>13</v>
      </c>
      <c r="F447" s="78">
        <f t="shared" si="32"/>
        <v>0</v>
      </c>
      <c r="G447" s="79">
        <f t="shared" si="33"/>
        <v>0</v>
      </c>
      <c r="H447" s="80"/>
      <c r="I447" s="81"/>
      <c r="J447" s="80"/>
      <c r="K447" s="81"/>
      <c r="L447" s="80"/>
      <c r="M447" s="80"/>
      <c r="N447" s="80"/>
      <c r="O447" s="81"/>
      <c r="P447" s="81"/>
      <c r="Q447" s="81"/>
      <c r="R447" s="80"/>
      <c r="S447" s="81"/>
      <c r="T447" s="78">
        <f t="shared" si="34"/>
        <v>0</v>
      </c>
      <c r="U447" s="79">
        <f t="shared" si="35"/>
        <v>0</v>
      </c>
      <c r="V447" s="80"/>
      <c r="W447" s="81"/>
      <c r="X447" s="80"/>
      <c r="Y447" s="81"/>
      <c r="Z447" s="80"/>
      <c r="AA447" s="80"/>
      <c r="AB447" s="80"/>
      <c r="AC447" s="81"/>
      <c r="AD447" s="81"/>
      <c r="AE447" s="81"/>
      <c r="AF447" s="80"/>
      <c r="AG447" s="81"/>
    </row>
    <row r="448" spans="1:33">
      <c r="A448" s="94" t="s">
        <v>524</v>
      </c>
      <c r="B448" s="96" t="s">
        <v>570</v>
      </c>
      <c r="C448" s="97"/>
      <c r="D448" s="93">
        <v>221281</v>
      </c>
      <c r="E448" s="93">
        <v>13</v>
      </c>
      <c r="F448" s="78">
        <f t="shared" si="32"/>
        <v>0</v>
      </c>
      <c r="G448" s="79">
        <f t="shared" si="33"/>
        <v>0</v>
      </c>
      <c r="H448" s="80"/>
      <c r="I448" s="81"/>
      <c r="J448" s="80"/>
      <c r="K448" s="81"/>
      <c r="L448" s="80"/>
      <c r="M448" s="80"/>
      <c r="N448" s="80"/>
      <c r="O448" s="81"/>
      <c r="P448" s="81"/>
      <c r="Q448" s="81"/>
      <c r="R448" s="80"/>
      <c r="S448" s="81"/>
      <c r="T448" s="78">
        <f t="shared" si="34"/>
        <v>0</v>
      </c>
      <c r="U448" s="79">
        <f t="shared" si="35"/>
        <v>0</v>
      </c>
      <c r="V448" s="80"/>
      <c r="W448" s="81"/>
      <c r="X448" s="80"/>
      <c r="Y448" s="81"/>
      <c r="Z448" s="80"/>
      <c r="AA448" s="80"/>
      <c r="AB448" s="80"/>
      <c r="AC448" s="81"/>
      <c r="AD448" s="81"/>
      <c r="AE448" s="81"/>
      <c r="AF448" s="80"/>
      <c r="AG448" s="81"/>
    </row>
    <row r="449" spans="1:33">
      <c r="A449" s="3" t="s">
        <v>524</v>
      </c>
      <c r="B449" s="2" t="s">
        <v>571</v>
      </c>
      <c r="C449" s="1"/>
      <c r="D449" s="93">
        <v>221333</v>
      </c>
      <c r="E449" s="93">
        <v>13</v>
      </c>
      <c r="F449" s="78">
        <f t="shared" si="32"/>
        <v>0</v>
      </c>
      <c r="G449" s="79">
        <f t="shared" si="33"/>
        <v>0</v>
      </c>
      <c r="H449" s="80"/>
      <c r="I449" s="81"/>
      <c r="J449" s="80"/>
      <c r="K449" s="81"/>
      <c r="L449" s="80"/>
      <c r="M449" s="80"/>
      <c r="N449" s="80"/>
      <c r="O449" s="81"/>
      <c r="P449" s="81"/>
      <c r="Q449" s="81"/>
      <c r="R449" s="80"/>
      <c r="S449" s="81"/>
      <c r="T449" s="78">
        <f t="shared" si="34"/>
        <v>0</v>
      </c>
      <c r="U449" s="79">
        <f t="shared" si="35"/>
        <v>0</v>
      </c>
      <c r="V449" s="80"/>
      <c r="W449" s="81"/>
      <c r="X449" s="80"/>
      <c r="Y449" s="81"/>
      <c r="Z449" s="80"/>
      <c r="AA449" s="80"/>
      <c r="AB449" s="80"/>
      <c r="AC449" s="81"/>
      <c r="AD449" s="81"/>
      <c r="AE449" s="81"/>
      <c r="AF449" s="80"/>
      <c r="AG449" s="81"/>
    </row>
    <row r="450" spans="1:33">
      <c r="A450" s="94" t="s">
        <v>524</v>
      </c>
      <c r="B450" s="2" t="s">
        <v>572</v>
      </c>
      <c r="C450" s="95"/>
      <c r="D450" s="93">
        <v>221388</v>
      </c>
      <c r="E450" s="93">
        <v>13</v>
      </c>
      <c r="F450" s="78">
        <f t="shared" si="32"/>
        <v>0</v>
      </c>
      <c r="G450" s="79">
        <f t="shared" si="33"/>
        <v>0</v>
      </c>
      <c r="H450" s="80"/>
      <c r="I450" s="81"/>
      <c r="J450" s="80"/>
      <c r="K450" s="81"/>
      <c r="L450" s="80"/>
      <c r="M450" s="80"/>
      <c r="N450" s="80"/>
      <c r="O450" s="81"/>
      <c r="P450" s="81"/>
      <c r="Q450" s="81"/>
      <c r="R450" s="80"/>
      <c r="S450" s="81"/>
      <c r="T450" s="78">
        <f t="shared" si="34"/>
        <v>0</v>
      </c>
      <c r="U450" s="79">
        <f t="shared" si="35"/>
        <v>0</v>
      </c>
      <c r="V450" s="80"/>
      <c r="W450" s="81"/>
      <c r="X450" s="80"/>
      <c r="Y450" s="81"/>
      <c r="Z450" s="80"/>
      <c r="AA450" s="80"/>
      <c r="AB450" s="80"/>
      <c r="AC450" s="81"/>
      <c r="AD450" s="81"/>
      <c r="AE450" s="81"/>
      <c r="AF450" s="80"/>
      <c r="AG450" s="81"/>
    </row>
    <row r="451" spans="1:33">
      <c r="A451" s="94" t="s">
        <v>524</v>
      </c>
      <c r="B451" s="96" t="s">
        <v>573</v>
      </c>
      <c r="C451" s="97"/>
      <c r="D451" s="93">
        <v>221494</v>
      </c>
      <c r="E451" s="93">
        <v>13</v>
      </c>
      <c r="F451" s="78">
        <f t="shared" si="32"/>
        <v>0</v>
      </c>
      <c r="G451" s="79">
        <f t="shared" si="33"/>
        <v>0</v>
      </c>
      <c r="H451" s="80"/>
      <c r="I451" s="81"/>
      <c r="J451" s="80"/>
      <c r="K451" s="81"/>
      <c r="L451" s="80"/>
      <c r="M451" s="80"/>
      <c r="N451" s="80"/>
      <c r="O451" s="81"/>
      <c r="P451" s="81"/>
      <c r="Q451" s="81"/>
      <c r="R451" s="80"/>
      <c r="S451" s="81"/>
      <c r="T451" s="78">
        <f t="shared" si="34"/>
        <v>0</v>
      </c>
      <c r="U451" s="79">
        <f t="shared" si="35"/>
        <v>0</v>
      </c>
      <c r="V451" s="80"/>
      <c r="W451" s="81"/>
      <c r="X451" s="80"/>
      <c r="Y451" s="81"/>
      <c r="Z451" s="80"/>
      <c r="AA451" s="80"/>
      <c r="AB451" s="80"/>
      <c r="AC451" s="81"/>
      <c r="AD451" s="81"/>
      <c r="AE451" s="81"/>
      <c r="AF451" s="80"/>
      <c r="AG451" s="81"/>
    </row>
    <row r="452" spans="1:33">
      <c r="A452" s="3" t="s">
        <v>524</v>
      </c>
      <c r="B452" s="2" t="s">
        <v>574</v>
      </c>
      <c r="C452" s="1"/>
      <c r="D452" s="93">
        <v>221634</v>
      </c>
      <c r="E452" s="93">
        <v>13</v>
      </c>
      <c r="F452" s="78">
        <f t="shared" si="32"/>
        <v>0</v>
      </c>
      <c r="G452" s="79">
        <f t="shared" si="33"/>
        <v>0</v>
      </c>
      <c r="H452" s="80"/>
      <c r="I452" s="81"/>
      <c r="J452" s="80"/>
      <c r="K452" s="81"/>
      <c r="L452" s="80"/>
      <c r="M452" s="80"/>
      <c r="N452" s="80"/>
      <c r="O452" s="81"/>
      <c r="P452" s="81"/>
      <c r="Q452" s="81"/>
      <c r="R452" s="80"/>
      <c r="S452" s="81"/>
      <c r="T452" s="78">
        <f t="shared" si="34"/>
        <v>0</v>
      </c>
      <c r="U452" s="79">
        <f t="shared" si="35"/>
        <v>0</v>
      </c>
      <c r="V452" s="80"/>
      <c r="W452" s="81"/>
      <c r="X452" s="80"/>
      <c r="Y452" s="81"/>
      <c r="Z452" s="80"/>
      <c r="AA452" s="80"/>
      <c r="AB452" s="80"/>
      <c r="AC452" s="81"/>
      <c r="AD452" s="81"/>
      <c r="AE452" s="81"/>
      <c r="AF452" s="80"/>
      <c r="AG452" s="81"/>
    </row>
    <row r="453" spans="1:33" s="44" customFormat="1" ht="13.5" customHeight="1">
      <c r="A453" s="159" t="s">
        <v>577</v>
      </c>
      <c r="B453" s="195" t="s">
        <v>578</v>
      </c>
      <c r="C453" s="100"/>
      <c r="D453" s="101">
        <v>228723</v>
      </c>
      <c r="E453" s="101">
        <v>1</v>
      </c>
      <c r="F453" s="78">
        <f t="shared" si="32"/>
        <v>1278325</v>
      </c>
      <c r="G453" s="79">
        <f t="shared" si="33"/>
        <v>1321004</v>
      </c>
      <c r="H453" s="80">
        <v>1131001</v>
      </c>
      <c r="I453" s="81">
        <v>1149447</v>
      </c>
      <c r="J453" s="80">
        <v>9532</v>
      </c>
      <c r="K453" s="81">
        <v>11928</v>
      </c>
      <c r="L453" s="80">
        <v>128122</v>
      </c>
      <c r="M453" s="80">
        <v>0</v>
      </c>
      <c r="N453" s="80">
        <v>9670</v>
      </c>
      <c r="O453" s="81">
        <v>147908</v>
      </c>
      <c r="P453" s="81">
        <v>0</v>
      </c>
      <c r="Q453" s="81">
        <v>11721</v>
      </c>
      <c r="R453" s="80"/>
      <c r="S453" s="81"/>
      <c r="T453" s="78">
        <f t="shared" si="34"/>
        <v>226409</v>
      </c>
      <c r="U453" s="79">
        <f t="shared" si="35"/>
        <v>224212</v>
      </c>
      <c r="V453" s="80">
        <v>189796</v>
      </c>
      <c r="W453" s="81">
        <v>185431</v>
      </c>
      <c r="X453" s="80">
        <v>5427</v>
      </c>
      <c r="Y453" s="81">
        <v>5865</v>
      </c>
      <c r="Z453" s="80">
        <v>27111</v>
      </c>
      <c r="AA453" s="80">
        <v>33</v>
      </c>
      <c r="AB453" s="80">
        <v>4042</v>
      </c>
      <c r="AC453" s="81">
        <v>28409</v>
      </c>
      <c r="AD453" s="81">
        <v>0</v>
      </c>
      <c r="AE453" s="81">
        <v>4507</v>
      </c>
      <c r="AF453" s="80"/>
      <c r="AG453" s="81"/>
    </row>
    <row r="454" spans="1:33">
      <c r="A454" s="159" t="s">
        <v>577</v>
      </c>
      <c r="B454" s="99" t="s">
        <v>579</v>
      </c>
      <c r="C454" s="100"/>
      <c r="D454" s="101">
        <v>229115</v>
      </c>
      <c r="E454" s="101">
        <v>1</v>
      </c>
      <c r="F454" s="78">
        <f t="shared" si="32"/>
        <v>792831</v>
      </c>
      <c r="G454" s="79">
        <f t="shared" si="33"/>
        <v>810366</v>
      </c>
      <c r="H454" s="80">
        <v>639709</v>
      </c>
      <c r="I454" s="81">
        <v>642108</v>
      </c>
      <c r="J454" s="80">
        <v>10294</v>
      </c>
      <c r="K454" s="81">
        <v>11203</v>
      </c>
      <c r="L454" s="80">
        <v>142205</v>
      </c>
      <c r="M454" s="80">
        <v>623</v>
      </c>
      <c r="N454" s="80">
        <v>0</v>
      </c>
      <c r="O454" s="81">
        <v>155953</v>
      </c>
      <c r="P454" s="81">
        <v>1102</v>
      </c>
      <c r="Q454" s="81">
        <v>0</v>
      </c>
      <c r="R454" s="80"/>
      <c r="S454" s="81"/>
      <c r="T454" s="78">
        <f t="shared" si="34"/>
        <v>126883</v>
      </c>
      <c r="U454" s="79">
        <f t="shared" si="35"/>
        <v>122224</v>
      </c>
      <c r="V454" s="80">
        <v>91338</v>
      </c>
      <c r="W454" s="81">
        <v>87142</v>
      </c>
      <c r="X454" s="80">
        <v>1010</v>
      </c>
      <c r="Y454" s="81">
        <v>1121</v>
      </c>
      <c r="Z454" s="80">
        <v>34466</v>
      </c>
      <c r="AA454" s="80">
        <v>69</v>
      </c>
      <c r="AB454" s="80">
        <v>0</v>
      </c>
      <c r="AC454" s="81">
        <v>33889</v>
      </c>
      <c r="AD454" s="81">
        <v>72</v>
      </c>
      <c r="AE454" s="81">
        <v>0</v>
      </c>
      <c r="AF454" s="80"/>
      <c r="AG454" s="81"/>
    </row>
    <row r="455" spans="1:33">
      <c r="A455" s="159" t="s">
        <v>577</v>
      </c>
      <c r="B455" s="99" t="s">
        <v>580</v>
      </c>
      <c r="C455" s="100"/>
      <c r="D455" s="101">
        <v>225511</v>
      </c>
      <c r="E455" s="101">
        <v>1</v>
      </c>
      <c r="F455" s="78">
        <f t="shared" si="32"/>
        <v>883751</v>
      </c>
      <c r="G455" s="79">
        <f t="shared" si="33"/>
        <v>920538</v>
      </c>
      <c r="H455" s="80">
        <v>656777</v>
      </c>
      <c r="I455" s="81">
        <v>669019</v>
      </c>
      <c r="J455" s="80">
        <v>17108</v>
      </c>
      <c r="K455" s="81">
        <v>19101</v>
      </c>
      <c r="L455" s="80">
        <v>209591</v>
      </c>
      <c r="M455" s="80">
        <v>275</v>
      </c>
      <c r="N455" s="80">
        <v>0</v>
      </c>
      <c r="O455" s="81">
        <v>232349</v>
      </c>
      <c r="P455" s="81">
        <v>69</v>
      </c>
      <c r="Q455" s="81">
        <v>0</v>
      </c>
      <c r="R455" s="80"/>
      <c r="S455" s="81"/>
      <c r="T455" s="78">
        <f t="shared" si="34"/>
        <v>175604</v>
      </c>
      <c r="U455" s="79">
        <f t="shared" si="35"/>
        <v>175307</v>
      </c>
      <c r="V455" s="80">
        <v>156768</v>
      </c>
      <c r="W455" s="81">
        <v>156995</v>
      </c>
      <c r="X455" s="80">
        <v>4425</v>
      </c>
      <c r="Y455" s="81">
        <v>2269</v>
      </c>
      <c r="Z455" s="80">
        <v>14132</v>
      </c>
      <c r="AA455" s="80">
        <v>279</v>
      </c>
      <c r="AB455" s="80">
        <v>0</v>
      </c>
      <c r="AC455" s="81">
        <v>15866</v>
      </c>
      <c r="AD455" s="81">
        <v>177</v>
      </c>
      <c r="AE455" s="81">
        <v>0</v>
      </c>
      <c r="AF455" s="80"/>
      <c r="AG455" s="81"/>
    </row>
    <row r="456" spans="1:33">
      <c r="A456" s="159" t="s">
        <v>577</v>
      </c>
      <c r="B456" s="99" t="s">
        <v>581</v>
      </c>
      <c r="C456" s="100"/>
      <c r="D456" s="101">
        <v>227216</v>
      </c>
      <c r="E456" s="101">
        <v>1</v>
      </c>
      <c r="F456" s="78">
        <f t="shared" si="32"/>
        <v>806818</v>
      </c>
      <c r="G456" s="79">
        <f t="shared" si="33"/>
        <v>811284</v>
      </c>
      <c r="H456" s="80">
        <v>680229</v>
      </c>
      <c r="I456" s="81">
        <v>669560</v>
      </c>
      <c r="J456" s="80">
        <v>4878</v>
      </c>
      <c r="K456" s="81">
        <v>4769</v>
      </c>
      <c r="L456" s="80">
        <v>121486</v>
      </c>
      <c r="M456" s="80">
        <v>195</v>
      </c>
      <c r="N456" s="80">
        <v>30</v>
      </c>
      <c r="O456" s="81">
        <v>136907</v>
      </c>
      <c r="P456" s="81">
        <v>30</v>
      </c>
      <c r="Q456" s="81">
        <v>18</v>
      </c>
      <c r="R456" s="80"/>
      <c r="S456" s="81"/>
      <c r="T456" s="78">
        <f t="shared" si="34"/>
        <v>105426</v>
      </c>
      <c r="U456" s="79">
        <f t="shared" si="35"/>
        <v>105086</v>
      </c>
      <c r="V456" s="80">
        <v>66894</v>
      </c>
      <c r="W456" s="81">
        <v>63999</v>
      </c>
      <c r="X456" s="80">
        <v>1299</v>
      </c>
      <c r="Y456" s="81">
        <v>760</v>
      </c>
      <c r="Z456" s="80">
        <v>37197</v>
      </c>
      <c r="AA456" s="80">
        <v>36</v>
      </c>
      <c r="AB456" s="80">
        <v>0</v>
      </c>
      <c r="AC456" s="81">
        <v>40309</v>
      </c>
      <c r="AD456" s="81">
        <v>18</v>
      </c>
      <c r="AE456" s="81">
        <v>0</v>
      </c>
      <c r="AF456" s="80"/>
      <c r="AG456" s="81"/>
    </row>
    <row r="457" spans="1:33">
      <c r="A457" s="159" t="s">
        <v>577</v>
      </c>
      <c r="B457" s="99" t="s">
        <v>582</v>
      </c>
      <c r="C457" s="100"/>
      <c r="D457" s="101">
        <v>228769</v>
      </c>
      <c r="E457" s="101">
        <v>1</v>
      </c>
      <c r="F457" s="78">
        <f t="shared" si="32"/>
        <v>658963</v>
      </c>
      <c r="G457" s="79">
        <f t="shared" si="33"/>
        <v>708058</v>
      </c>
      <c r="H457" s="80">
        <v>473603</v>
      </c>
      <c r="I457" s="81">
        <v>488588</v>
      </c>
      <c r="J457" s="80">
        <v>1852</v>
      </c>
      <c r="K457" s="81">
        <v>2414</v>
      </c>
      <c r="L457" s="80">
        <v>183253</v>
      </c>
      <c r="M457" s="80">
        <v>0</v>
      </c>
      <c r="N457" s="80">
        <v>255</v>
      </c>
      <c r="O457" s="81">
        <v>217041</v>
      </c>
      <c r="P457" s="81">
        <v>15</v>
      </c>
      <c r="Q457" s="81">
        <v>0</v>
      </c>
      <c r="R457" s="80"/>
      <c r="S457" s="81"/>
      <c r="T457" s="78">
        <f t="shared" si="34"/>
        <v>194583</v>
      </c>
      <c r="U457" s="79">
        <f t="shared" si="35"/>
        <v>214094</v>
      </c>
      <c r="V457" s="80">
        <v>109003</v>
      </c>
      <c r="W457" s="81">
        <v>93213</v>
      </c>
      <c r="X457" s="80">
        <v>6658</v>
      </c>
      <c r="Y457" s="81">
        <v>5979</v>
      </c>
      <c r="Z457" s="80">
        <v>78838</v>
      </c>
      <c r="AA457" s="80">
        <v>84</v>
      </c>
      <c r="AB457" s="80">
        <v>0</v>
      </c>
      <c r="AC457" s="81">
        <v>114899</v>
      </c>
      <c r="AD457" s="81">
        <v>3</v>
      </c>
      <c r="AE457" s="81">
        <v>0</v>
      </c>
      <c r="AF457" s="80"/>
      <c r="AG457" s="81"/>
    </row>
    <row r="458" spans="1:33">
      <c r="A458" s="159" t="s">
        <v>577</v>
      </c>
      <c r="B458" s="99" t="s">
        <v>583</v>
      </c>
      <c r="C458" s="100"/>
      <c r="D458" s="101">
        <v>228778</v>
      </c>
      <c r="E458" s="101">
        <v>1</v>
      </c>
      <c r="F458" s="78">
        <f t="shared" si="32"/>
        <v>1070241</v>
      </c>
      <c r="G458" s="79">
        <f t="shared" si="33"/>
        <v>1089970</v>
      </c>
      <c r="H458" s="80">
        <v>993791</v>
      </c>
      <c r="I458" s="81">
        <v>991445</v>
      </c>
      <c r="J458" s="80">
        <v>6169</v>
      </c>
      <c r="K458" s="81">
        <v>6048</v>
      </c>
      <c r="L458" s="80">
        <v>42981</v>
      </c>
      <c r="M458" s="80">
        <v>27135</v>
      </c>
      <c r="N458" s="80">
        <v>165</v>
      </c>
      <c r="O458" s="81">
        <v>58331</v>
      </c>
      <c r="P458" s="81">
        <v>34092</v>
      </c>
      <c r="Q458" s="81">
        <v>54</v>
      </c>
      <c r="R458" s="80"/>
      <c r="S458" s="81"/>
      <c r="T458" s="78">
        <f t="shared" si="34"/>
        <v>242758</v>
      </c>
      <c r="U458" s="79">
        <f t="shared" si="35"/>
        <v>239440</v>
      </c>
      <c r="V458" s="80">
        <v>237491</v>
      </c>
      <c r="W458" s="81">
        <v>233743</v>
      </c>
      <c r="X458" s="80">
        <v>435</v>
      </c>
      <c r="Y458" s="81">
        <v>671</v>
      </c>
      <c r="Z458" s="80">
        <v>2109</v>
      </c>
      <c r="AA458" s="80">
        <v>1940</v>
      </c>
      <c r="AB458" s="80">
        <v>783</v>
      </c>
      <c r="AC458" s="81">
        <v>2470</v>
      </c>
      <c r="AD458" s="81">
        <v>1653</v>
      </c>
      <c r="AE458" s="81">
        <v>903</v>
      </c>
      <c r="AF458" s="80"/>
      <c r="AG458" s="81"/>
    </row>
    <row r="459" spans="1:33">
      <c r="A459" s="159" t="s">
        <v>577</v>
      </c>
      <c r="B459" s="99" t="s">
        <v>584</v>
      </c>
      <c r="C459" s="100"/>
      <c r="D459" s="101">
        <v>228787</v>
      </c>
      <c r="E459" s="101">
        <v>1</v>
      </c>
      <c r="F459" s="78">
        <f t="shared" si="32"/>
        <v>437506</v>
      </c>
      <c r="G459" s="79">
        <f t="shared" si="33"/>
        <v>476193</v>
      </c>
      <c r="H459" s="80">
        <v>412246</v>
      </c>
      <c r="I459" s="81">
        <v>446482</v>
      </c>
      <c r="J459" s="80">
        <v>2482</v>
      </c>
      <c r="K459" s="81">
        <v>4292</v>
      </c>
      <c r="L459" s="80">
        <v>22778</v>
      </c>
      <c r="M459" s="80">
        <v>0</v>
      </c>
      <c r="N459" s="80">
        <v>0</v>
      </c>
      <c r="O459" s="81">
        <v>25419</v>
      </c>
      <c r="P459" s="81">
        <v>0</v>
      </c>
      <c r="Q459" s="81">
        <v>0</v>
      </c>
      <c r="R459" s="80"/>
      <c r="S459" s="81"/>
      <c r="T459" s="78">
        <f t="shared" si="34"/>
        <v>162236</v>
      </c>
      <c r="U459" s="79">
        <f t="shared" si="35"/>
        <v>161601</v>
      </c>
      <c r="V459" s="80">
        <v>143984</v>
      </c>
      <c r="W459" s="81">
        <v>143482</v>
      </c>
      <c r="X459" s="80">
        <v>437</v>
      </c>
      <c r="Y459" s="81">
        <v>681</v>
      </c>
      <c r="Z459" s="80">
        <v>17815</v>
      </c>
      <c r="AA459" s="80">
        <v>0</v>
      </c>
      <c r="AB459" s="80">
        <v>0</v>
      </c>
      <c r="AC459" s="81">
        <v>17438</v>
      </c>
      <c r="AD459" s="81">
        <v>0</v>
      </c>
      <c r="AE459" s="81">
        <v>0</v>
      </c>
      <c r="AF459" s="80"/>
      <c r="AG459" s="81"/>
    </row>
    <row r="460" spans="1:33" s="44" customFormat="1" ht="15" customHeight="1">
      <c r="A460" s="159" t="s">
        <v>577</v>
      </c>
      <c r="B460" s="99" t="s">
        <v>585</v>
      </c>
      <c r="C460" s="196" t="s">
        <v>102</v>
      </c>
      <c r="D460" s="101">
        <v>229179</v>
      </c>
      <c r="E460" s="101">
        <v>2</v>
      </c>
      <c r="F460" s="78">
        <f t="shared" si="32"/>
        <v>245153</v>
      </c>
      <c r="G460" s="79">
        <f t="shared" si="33"/>
        <v>242611</v>
      </c>
      <c r="H460" s="80">
        <v>160385</v>
      </c>
      <c r="I460" s="81">
        <v>158600</v>
      </c>
      <c r="J460" s="80">
        <v>6761</v>
      </c>
      <c r="K460" s="81">
        <v>7477</v>
      </c>
      <c r="L460" s="80">
        <v>78007</v>
      </c>
      <c r="M460" s="80">
        <v>0</v>
      </c>
      <c r="N460" s="80">
        <v>0</v>
      </c>
      <c r="O460" s="81">
        <v>76534</v>
      </c>
      <c r="P460" s="81">
        <v>0</v>
      </c>
      <c r="Q460" s="81">
        <v>0</v>
      </c>
      <c r="R460" s="80"/>
      <c r="S460" s="81"/>
      <c r="T460" s="78">
        <f t="shared" si="34"/>
        <v>93332</v>
      </c>
      <c r="U460" s="79">
        <f t="shared" si="35"/>
        <v>93586</v>
      </c>
      <c r="V460" s="80">
        <v>46437</v>
      </c>
      <c r="W460" s="81">
        <v>46731</v>
      </c>
      <c r="X460" s="80">
        <v>291</v>
      </c>
      <c r="Y460" s="81">
        <v>315</v>
      </c>
      <c r="Z460" s="80">
        <v>45600</v>
      </c>
      <c r="AA460" s="80">
        <v>1004</v>
      </c>
      <c r="AB460" s="80">
        <v>0</v>
      </c>
      <c r="AC460" s="81">
        <v>45346</v>
      </c>
      <c r="AD460" s="81">
        <v>1194</v>
      </c>
      <c r="AE460" s="81">
        <v>0</v>
      </c>
      <c r="AF460" s="80"/>
      <c r="AG460" s="81"/>
    </row>
    <row r="461" spans="1:33" s="44" customFormat="1" ht="15" customHeight="1">
      <c r="A461" s="159" t="s">
        <v>577</v>
      </c>
      <c r="B461" s="99" t="s">
        <v>586</v>
      </c>
      <c r="C461" s="196" t="s">
        <v>688</v>
      </c>
      <c r="D461" s="101">
        <v>228796</v>
      </c>
      <c r="E461" s="101">
        <v>2</v>
      </c>
      <c r="F461" s="78">
        <f t="shared" si="32"/>
        <v>488892</v>
      </c>
      <c r="G461" s="79">
        <f t="shared" si="33"/>
        <v>509419</v>
      </c>
      <c r="H461" s="80">
        <v>400732</v>
      </c>
      <c r="I461" s="81">
        <v>418745</v>
      </c>
      <c r="J461" s="80">
        <v>1252</v>
      </c>
      <c r="K461" s="81">
        <v>1159</v>
      </c>
      <c r="L461" s="80">
        <v>86908</v>
      </c>
      <c r="M461" s="80">
        <v>0</v>
      </c>
      <c r="N461" s="80">
        <v>0</v>
      </c>
      <c r="O461" s="81">
        <v>89515</v>
      </c>
      <c r="P461" s="81">
        <v>0</v>
      </c>
      <c r="Q461" s="81">
        <v>0</v>
      </c>
      <c r="R461" s="80"/>
      <c r="S461" s="81"/>
      <c r="T461" s="78">
        <f t="shared" si="34"/>
        <v>56266</v>
      </c>
      <c r="U461" s="79">
        <f t="shared" si="35"/>
        <v>58545</v>
      </c>
      <c r="V461" s="80">
        <v>35113</v>
      </c>
      <c r="W461" s="81">
        <v>35138</v>
      </c>
      <c r="X461" s="80">
        <v>2433</v>
      </c>
      <c r="Y461" s="81">
        <v>1073</v>
      </c>
      <c r="Z461" s="80">
        <v>18720</v>
      </c>
      <c r="AA461" s="80">
        <v>0</v>
      </c>
      <c r="AB461" s="80">
        <v>0</v>
      </c>
      <c r="AC461" s="81">
        <v>22334</v>
      </c>
      <c r="AD461" s="81">
        <v>0</v>
      </c>
      <c r="AE461" s="81">
        <v>0</v>
      </c>
      <c r="AF461" s="80"/>
      <c r="AG461" s="81"/>
    </row>
    <row r="462" spans="1:33" s="44" customFormat="1" ht="15" customHeight="1">
      <c r="A462" s="159" t="s">
        <v>577</v>
      </c>
      <c r="B462" s="99" t="s">
        <v>587</v>
      </c>
      <c r="C462" s="160"/>
      <c r="D462" s="101">
        <v>229027</v>
      </c>
      <c r="E462" s="101">
        <v>1</v>
      </c>
      <c r="F462" s="78">
        <f t="shared" si="32"/>
        <v>629375</v>
      </c>
      <c r="G462" s="79">
        <f t="shared" si="33"/>
        <v>653870</v>
      </c>
      <c r="H462" s="80">
        <v>561782</v>
      </c>
      <c r="I462" s="81">
        <v>572055</v>
      </c>
      <c r="J462" s="80">
        <v>2208</v>
      </c>
      <c r="K462" s="81">
        <v>2272</v>
      </c>
      <c r="L462" s="80">
        <v>63906</v>
      </c>
      <c r="M462" s="80">
        <v>1242</v>
      </c>
      <c r="N462" s="80">
        <v>237</v>
      </c>
      <c r="O462" s="81">
        <v>78949</v>
      </c>
      <c r="P462" s="81">
        <v>360</v>
      </c>
      <c r="Q462" s="81">
        <v>234</v>
      </c>
      <c r="R462" s="80"/>
      <c r="S462" s="81"/>
      <c r="T462" s="78">
        <f t="shared" si="34"/>
        <v>66327</v>
      </c>
      <c r="U462" s="79">
        <f t="shared" si="35"/>
        <v>68875</v>
      </c>
      <c r="V462" s="80">
        <v>57463</v>
      </c>
      <c r="W462" s="81">
        <v>58092</v>
      </c>
      <c r="X462" s="80">
        <v>2552</v>
      </c>
      <c r="Y462" s="81">
        <v>2764</v>
      </c>
      <c r="Z462" s="80">
        <v>6312</v>
      </c>
      <c r="AA462" s="80">
        <v>0</v>
      </c>
      <c r="AB462" s="80">
        <v>0</v>
      </c>
      <c r="AC462" s="81">
        <v>8019</v>
      </c>
      <c r="AD462" s="81">
        <v>0</v>
      </c>
      <c r="AE462" s="81">
        <v>0</v>
      </c>
      <c r="AF462" s="80"/>
      <c r="AG462" s="81"/>
    </row>
    <row r="463" spans="1:33" s="44" customFormat="1" ht="15" customHeight="1">
      <c r="A463" s="159" t="s">
        <v>577</v>
      </c>
      <c r="B463" s="99" t="s">
        <v>588</v>
      </c>
      <c r="C463" s="196"/>
      <c r="D463" s="101">
        <v>222831</v>
      </c>
      <c r="E463" s="101">
        <v>3</v>
      </c>
      <c r="F463" s="78">
        <f t="shared" si="32"/>
        <v>172033</v>
      </c>
      <c r="G463" s="79">
        <f t="shared" si="33"/>
        <v>184109</v>
      </c>
      <c r="H463" s="80">
        <v>149277</v>
      </c>
      <c r="I463" s="81">
        <v>156479</v>
      </c>
      <c r="J463" s="80">
        <v>0</v>
      </c>
      <c r="K463" s="81">
        <v>0</v>
      </c>
      <c r="L463" s="80">
        <v>22756</v>
      </c>
      <c r="M463" s="80">
        <v>0</v>
      </c>
      <c r="N463" s="80">
        <v>0</v>
      </c>
      <c r="O463" s="81">
        <v>27630</v>
      </c>
      <c r="P463" s="81">
        <v>0</v>
      </c>
      <c r="Q463" s="81">
        <v>0</v>
      </c>
      <c r="R463" s="80"/>
      <c r="S463" s="81"/>
      <c r="T463" s="78">
        <f t="shared" si="34"/>
        <v>26146</v>
      </c>
      <c r="U463" s="79">
        <f t="shared" si="35"/>
        <v>28680</v>
      </c>
      <c r="V463" s="80">
        <v>8065</v>
      </c>
      <c r="W463" s="81">
        <v>5590</v>
      </c>
      <c r="X463" s="80">
        <v>0</v>
      </c>
      <c r="Y463" s="81">
        <v>0</v>
      </c>
      <c r="Z463" s="80">
        <v>18081</v>
      </c>
      <c r="AA463" s="80">
        <v>0</v>
      </c>
      <c r="AB463" s="80">
        <v>0</v>
      </c>
      <c r="AC463" s="81">
        <v>23090</v>
      </c>
      <c r="AD463" s="81">
        <v>0</v>
      </c>
      <c r="AE463" s="81">
        <v>0</v>
      </c>
      <c r="AF463" s="80"/>
      <c r="AG463" s="81"/>
    </row>
    <row r="464" spans="1:33" s="44" customFormat="1" ht="15" customHeight="1">
      <c r="A464" s="159" t="s">
        <v>577</v>
      </c>
      <c r="B464" s="99" t="s">
        <v>589</v>
      </c>
      <c r="C464" s="196"/>
      <c r="D464" s="101">
        <v>226091</v>
      </c>
      <c r="E464" s="101">
        <v>3</v>
      </c>
      <c r="F464" s="78">
        <f t="shared" si="32"/>
        <v>223457</v>
      </c>
      <c r="G464" s="79">
        <f t="shared" si="33"/>
        <v>227875</v>
      </c>
      <c r="H464" s="80">
        <v>153234</v>
      </c>
      <c r="I464" s="81">
        <v>149996</v>
      </c>
      <c r="J464" s="80">
        <v>455</v>
      </c>
      <c r="K464" s="81">
        <v>288</v>
      </c>
      <c r="L464" s="80">
        <v>69768</v>
      </c>
      <c r="M464" s="80">
        <v>0</v>
      </c>
      <c r="N464" s="80">
        <v>0</v>
      </c>
      <c r="O464" s="81">
        <v>77591</v>
      </c>
      <c r="P464" s="81">
        <v>0</v>
      </c>
      <c r="Q464" s="81">
        <v>0</v>
      </c>
      <c r="R464" s="80"/>
      <c r="S464" s="81"/>
      <c r="T464" s="78">
        <f t="shared" si="34"/>
        <v>115496</v>
      </c>
      <c r="U464" s="79">
        <f t="shared" si="35"/>
        <v>108868</v>
      </c>
      <c r="V464" s="80">
        <v>23096</v>
      </c>
      <c r="W464" s="81">
        <v>14603</v>
      </c>
      <c r="X464" s="80">
        <v>93</v>
      </c>
      <c r="Y464" s="81">
        <v>0</v>
      </c>
      <c r="Z464" s="80">
        <v>92262</v>
      </c>
      <c r="AA464" s="80">
        <v>45</v>
      </c>
      <c r="AB464" s="80">
        <v>0</v>
      </c>
      <c r="AC464" s="81">
        <v>94265</v>
      </c>
      <c r="AD464" s="81">
        <v>0</v>
      </c>
      <c r="AE464" s="81">
        <v>0</v>
      </c>
      <c r="AF464" s="80"/>
      <c r="AG464" s="81"/>
    </row>
    <row r="465" spans="1:33" s="44" customFormat="1" ht="15" customHeight="1">
      <c r="A465" s="159" t="s">
        <v>577</v>
      </c>
      <c r="B465" s="99" t="s">
        <v>590</v>
      </c>
      <c r="C465" s="196"/>
      <c r="D465" s="101">
        <v>226833</v>
      </c>
      <c r="E465" s="101">
        <v>3</v>
      </c>
      <c r="F465" s="78">
        <f t="shared" si="32"/>
        <v>129348</v>
      </c>
      <c r="G465" s="79">
        <f t="shared" si="33"/>
        <v>127691</v>
      </c>
      <c r="H465" s="80">
        <v>105541</v>
      </c>
      <c r="I465" s="81">
        <v>104696</v>
      </c>
      <c r="J465" s="80">
        <v>1388</v>
      </c>
      <c r="K465" s="81">
        <v>1218</v>
      </c>
      <c r="L465" s="80">
        <v>22389</v>
      </c>
      <c r="M465" s="80">
        <v>30</v>
      </c>
      <c r="N465" s="80">
        <v>0</v>
      </c>
      <c r="O465" s="81">
        <v>21727</v>
      </c>
      <c r="P465" s="81">
        <v>50</v>
      </c>
      <c r="Q465" s="81">
        <v>0</v>
      </c>
      <c r="R465" s="80"/>
      <c r="S465" s="81"/>
      <c r="T465" s="78">
        <f t="shared" si="34"/>
        <v>10160</v>
      </c>
      <c r="U465" s="79">
        <f t="shared" si="35"/>
        <v>10174</v>
      </c>
      <c r="V465" s="80">
        <v>4317</v>
      </c>
      <c r="W465" s="81">
        <v>3841</v>
      </c>
      <c r="X465" s="80">
        <v>51</v>
      </c>
      <c r="Y465" s="81">
        <v>21</v>
      </c>
      <c r="Z465" s="80">
        <v>5792</v>
      </c>
      <c r="AA465" s="80">
        <v>0</v>
      </c>
      <c r="AB465" s="80">
        <v>0</v>
      </c>
      <c r="AC465" s="81">
        <v>6312</v>
      </c>
      <c r="AD465" s="81">
        <v>0</v>
      </c>
      <c r="AE465" s="81">
        <v>0</v>
      </c>
      <c r="AF465" s="80"/>
      <c r="AG465" s="81"/>
    </row>
    <row r="466" spans="1:33" s="44" customFormat="1" ht="15" customHeight="1">
      <c r="A466" s="159" t="s">
        <v>577</v>
      </c>
      <c r="B466" s="195" t="s">
        <v>591</v>
      </c>
      <c r="C466" s="196"/>
      <c r="D466" s="101">
        <v>227526</v>
      </c>
      <c r="E466" s="101">
        <v>3</v>
      </c>
      <c r="F466" s="78">
        <f t="shared" si="32"/>
        <v>199378</v>
      </c>
      <c r="G466" s="79">
        <f t="shared" si="33"/>
        <v>213590</v>
      </c>
      <c r="H466" s="80">
        <v>180457</v>
      </c>
      <c r="I466" s="81">
        <v>194375</v>
      </c>
      <c r="J466" s="80">
        <v>9320</v>
      </c>
      <c r="K466" s="81">
        <v>8541</v>
      </c>
      <c r="L466" s="80">
        <v>9415</v>
      </c>
      <c r="M466" s="80">
        <v>186</v>
      </c>
      <c r="N466" s="80">
        <v>0</v>
      </c>
      <c r="O466" s="81">
        <v>10548</v>
      </c>
      <c r="P466" s="81">
        <v>126</v>
      </c>
      <c r="Q466" s="81">
        <v>0</v>
      </c>
      <c r="R466" s="80"/>
      <c r="S466" s="81"/>
      <c r="T466" s="78">
        <f t="shared" si="34"/>
        <v>23232</v>
      </c>
      <c r="U466" s="79">
        <f t="shared" si="35"/>
        <v>21439</v>
      </c>
      <c r="V466" s="80">
        <v>8123</v>
      </c>
      <c r="W466" s="81">
        <v>8406</v>
      </c>
      <c r="X466" s="80">
        <v>5320</v>
      </c>
      <c r="Y466" s="81">
        <v>3994</v>
      </c>
      <c r="Z466" s="80">
        <v>9789</v>
      </c>
      <c r="AA466" s="80">
        <v>0</v>
      </c>
      <c r="AB466" s="80">
        <v>0</v>
      </c>
      <c r="AC466" s="81">
        <v>9030</v>
      </c>
      <c r="AD466" s="81">
        <v>9</v>
      </c>
      <c r="AE466" s="81">
        <v>0</v>
      </c>
      <c r="AF466" s="80"/>
      <c r="AG466" s="81"/>
    </row>
    <row r="467" spans="1:33" s="44" customFormat="1" ht="15" customHeight="1">
      <c r="A467" s="159" t="s">
        <v>577</v>
      </c>
      <c r="B467" s="99" t="s">
        <v>592</v>
      </c>
      <c r="C467" s="196"/>
      <c r="D467" s="101">
        <v>227881</v>
      </c>
      <c r="E467" s="101">
        <v>3</v>
      </c>
      <c r="F467" s="78">
        <f t="shared" si="32"/>
        <v>469292</v>
      </c>
      <c r="G467" s="79">
        <f t="shared" si="33"/>
        <v>481856</v>
      </c>
      <c r="H467" s="80">
        <v>361040</v>
      </c>
      <c r="I467" s="81">
        <v>362379</v>
      </c>
      <c r="J467" s="80">
        <v>5301</v>
      </c>
      <c r="K467" s="81">
        <v>2302</v>
      </c>
      <c r="L467" s="80">
        <v>102951</v>
      </c>
      <c r="M467" s="80">
        <v>0</v>
      </c>
      <c r="N467" s="80">
        <v>0</v>
      </c>
      <c r="O467" s="81">
        <v>117175</v>
      </c>
      <c r="P467" s="81">
        <v>0</v>
      </c>
      <c r="Q467" s="81">
        <v>0</v>
      </c>
      <c r="R467" s="80"/>
      <c r="S467" s="81"/>
      <c r="T467" s="78">
        <f t="shared" si="34"/>
        <v>40010</v>
      </c>
      <c r="U467" s="79">
        <f t="shared" si="35"/>
        <v>39757</v>
      </c>
      <c r="V467" s="80">
        <v>17369</v>
      </c>
      <c r="W467" s="81">
        <v>16707</v>
      </c>
      <c r="X467" s="80">
        <v>123</v>
      </c>
      <c r="Y467" s="81">
        <v>87</v>
      </c>
      <c r="Z467" s="80">
        <v>22509</v>
      </c>
      <c r="AA467" s="80">
        <v>9</v>
      </c>
      <c r="AB467" s="80">
        <v>0</v>
      </c>
      <c r="AC467" s="81">
        <v>22942</v>
      </c>
      <c r="AD467" s="81">
        <v>21</v>
      </c>
      <c r="AE467" s="81">
        <v>0</v>
      </c>
      <c r="AF467" s="80"/>
      <c r="AG467" s="81"/>
    </row>
    <row r="468" spans="1:33" s="44" customFormat="1" ht="15" customHeight="1">
      <c r="A468" s="159" t="s">
        <v>577</v>
      </c>
      <c r="B468" s="99" t="s">
        <v>593</v>
      </c>
      <c r="C468" s="196"/>
      <c r="D468" s="101">
        <v>228431</v>
      </c>
      <c r="E468" s="101">
        <v>3</v>
      </c>
      <c r="F468" s="78">
        <f t="shared" si="32"/>
        <v>288003</v>
      </c>
      <c r="G468" s="79">
        <f t="shared" si="33"/>
        <v>289238</v>
      </c>
      <c r="H468" s="80">
        <v>234910</v>
      </c>
      <c r="I468" s="81">
        <v>234060</v>
      </c>
      <c r="J468" s="80">
        <v>1826</v>
      </c>
      <c r="K468" s="81">
        <v>2460</v>
      </c>
      <c r="L468" s="80">
        <v>51087</v>
      </c>
      <c r="M468" s="80">
        <v>180</v>
      </c>
      <c r="N468" s="80">
        <v>0</v>
      </c>
      <c r="O468" s="81">
        <v>52461</v>
      </c>
      <c r="P468" s="81">
        <v>221</v>
      </c>
      <c r="Q468" s="81">
        <v>36</v>
      </c>
      <c r="R468" s="80"/>
      <c r="S468" s="81"/>
      <c r="T468" s="78">
        <f t="shared" si="34"/>
        <v>29213</v>
      </c>
      <c r="U468" s="79">
        <f t="shared" si="35"/>
        <v>28942</v>
      </c>
      <c r="V468" s="80">
        <v>14200</v>
      </c>
      <c r="W468" s="81">
        <v>13035</v>
      </c>
      <c r="X468" s="80">
        <v>313</v>
      </c>
      <c r="Y468" s="81">
        <v>273</v>
      </c>
      <c r="Z468" s="80">
        <v>14372</v>
      </c>
      <c r="AA468" s="80">
        <v>247</v>
      </c>
      <c r="AB468" s="80">
        <v>81</v>
      </c>
      <c r="AC468" s="81">
        <v>15409</v>
      </c>
      <c r="AD468" s="81">
        <v>150</v>
      </c>
      <c r="AE468" s="81">
        <v>75</v>
      </c>
      <c r="AF468" s="80"/>
      <c r="AG468" s="81"/>
    </row>
    <row r="469" spans="1:33" s="44" customFormat="1" ht="15" customHeight="1">
      <c r="A469" s="159" t="s">
        <v>577</v>
      </c>
      <c r="B469" s="99" t="s">
        <v>594</v>
      </c>
      <c r="C469" s="196"/>
      <c r="D469" s="101">
        <v>228501</v>
      </c>
      <c r="E469" s="101">
        <v>3</v>
      </c>
      <c r="F469" s="78">
        <f t="shared" si="32"/>
        <v>34659</v>
      </c>
      <c r="G469" s="79">
        <f t="shared" si="33"/>
        <v>35579</v>
      </c>
      <c r="H469" s="80">
        <v>29354</v>
      </c>
      <c r="I469" s="81">
        <v>29048</v>
      </c>
      <c r="J469" s="80">
        <v>288</v>
      </c>
      <c r="K469" s="81">
        <v>514</v>
      </c>
      <c r="L469" s="80">
        <v>4543</v>
      </c>
      <c r="M469" s="80">
        <v>474</v>
      </c>
      <c r="N469" s="80">
        <v>0</v>
      </c>
      <c r="O469" s="81">
        <v>5473</v>
      </c>
      <c r="P469" s="81">
        <v>544</v>
      </c>
      <c r="Q469" s="81">
        <v>0</v>
      </c>
      <c r="R469" s="80"/>
      <c r="S469" s="81"/>
      <c r="T469" s="78">
        <f t="shared" si="34"/>
        <v>10567</v>
      </c>
      <c r="U469" s="79">
        <f t="shared" si="35"/>
        <v>9341</v>
      </c>
      <c r="V469" s="80">
        <v>2395</v>
      </c>
      <c r="W469" s="81">
        <v>2117</v>
      </c>
      <c r="X469" s="80">
        <v>108</v>
      </c>
      <c r="Y469" s="81">
        <v>54</v>
      </c>
      <c r="Z469" s="80">
        <v>8064</v>
      </c>
      <c r="AA469" s="80">
        <v>0</v>
      </c>
      <c r="AB469" s="80">
        <v>0</v>
      </c>
      <c r="AC469" s="81">
        <v>7170</v>
      </c>
      <c r="AD469" s="81">
        <v>0</v>
      </c>
      <c r="AE469" s="81">
        <v>0</v>
      </c>
      <c r="AF469" s="80"/>
      <c r="AG469" s="81"/>
    </row>
    <row r="470" spans="1:33" s="44" customFormat="1" ht="15" customHeight="1">
      <c r="A470" s="159" t="s">
        <v>577</v>
      </c>
      <c r="B470" s="99" t="s">
        <v>595</v>
      </c>
      <c r="C470" s="196"/>
      <c r="D470" s="101">
        <v>228529</v>
      </c>
      <c r="E470" s="101">
        <v>3</v>
      </c>
      <c r="F470" s="78">
        <f t="shared" si="32"/>
        <v>284468</v>
      </c>
      <c r="G470" s="79">
        <f t="shared" si="33"/>
        <v>287851</v>
      </c>
      <c r="H470" s="80">
        <v>206842</v>
      </c>
      <c r="I470" s="81">
        <v>206570</v>
      </c>
      <c r="J470" s="80">
        <v>22960</v>
      </c>
      <c r="K470" s="81">
        <v>21516</v>
      </c>
      <c r="L470" s="80">
        <v>54223</v>
      </c>
      <c r="M470" s="80">
        <v>443</v>
      </c>
      <c r="N470" s="80">
        <v>0</v>
      </c>
      <c r="O470" s="81">
        <v>59393</v>
      </c>
      <c r="P470" s="81">
        <v>354</v>
      </c>
      <c r="Q470" s="81">
        <v>18</v>
      </c>
      <c r="R470" s="80"/>
      <c r="S470" s="81"/>
      <c r="T470" s="78">
        <f t="shared" si="34"/>
        <v>23938</v>
      </c>
      <c r="U470" s="79">
        <f t="shared" si="35"/>
        <v>25624</v>
      </c>
      <c r="V470" s="80">
        <v>4558</v>
      </c>
      <c r="W470" s="81">
        <v>4874</v>
      </c>
      <c r="X470" s="80">
        <v>4987</v>
      </c>
      <c r="Y470" s="81">
        <v>3863</v>
      </c>
      <c r="Z470" s="80">
        <v>14273</v>
      </c>
      <c r="AA470" s="80">
        <v>120</v>
      </c>
      <c r="AB470" s="80">
        <v>0</v>
      </c>
      <c r="AC470" s="81">
        <v>16851</v>
      </c>
      <c r="AD470" s="81">
        <v>36</v>
      </c>
      <c r="AE470" s="81">
        <v>0</v>
      </c>
      <c r="AF470" s="80"/>
      <c r="AG470" s="81"/>
    </row>
    <row r="471" spans="1:33" s="44" customFormat="1" ht="15" customHeight="1">
      <c r="A471" s="159" t="s">
        <v>577</v>
      </c>
      <c r="B471" s="99" t="s">
        <v>596</v>
      </c>
      <c r="C471" s="196"/>
      <c r="D471" s="101">
        <v>226152</v>
      </c>
      <c r="E471" s="101">
        <v>3</v>
      </c>
      <c r="F471" s="78">
        <f t="shared" si="32"/>
        <v>160783</v>
      </c>
      <c r="G471" s="79">
        <f t="shared" si="33"/>
        <v>166962</v>
      </c>
      <c r="H471" s="80">
        <v>143047</v>
      </c>
      <c r="I471" s="81">
        <v>143507</v>
      </c>
      <c r="J471" s="80">
        <v>824</v>
      </c>
      <c r="K471" s="81">
        <v>1374</v>
      </c>
      <c r="L471" s="80">
        <v>16609</v>
      </c>
      <c r="M471" s="80">
        <v>303</v>
      </c>
      <c r="N471" s="80">
        <v>0</v>
      </c>
      <c r="O471" s="81">
        <v>22081</v>
      </c>
      <c r="P471" s="81">
        <v>0</v>
      </c>
      <c r="Q471" s="81">
        <v>0</v>
      </c>
      <c r="R471" s="80"/>
      <c r="S471" s="81"/>
      <c r="T471" s="78">
        <f t="shared" si="34"/>
        <v>13235</v>
      </c>
      <c r="U471" s="79">
        <f t="shared" si="35"/>
        <v>13664</v>
      </c>
      <c r="V471" s="80">
        <v>7990</v>
      </c>
      <c r="W471" s="81">
        <v>7524</v>
      </c>
      <c r="X471" s="80">
        <v>24</v>
      </c>
      <c r="Y471" s="81">
        <v>75</v>
      </c>
      <c r="Z471" s="80">
        <v>5221</v>
      </c>
      <c r="AA471" s="80">
        <v>0</v>
      </c>
      <c r="AB471" s="80">
        <v>0</v>
      </c>
      <c r="AC471" s="81">
        <v>6065</v>
      </c>
      <c r="AD471" s="81">
        <v>0</v>
      </c>
      <c r="AE471" s="81">
        <v>0</v>
      </c>
      <c r="AF471" s="80"/>
      <c r="AG471" s="81"/>
    </row>
    <row r="472" spans="1:33" s="44" customFormat="1" ht="15" customHeight="1">
      <c r="A472" s="159" t="s">
        <v>577</v>
      </c>
      <c r="B472" s="195" t="s">
        <v>597</v>
      </c>
      <c r="C472" s="196"/>
      <c r="D472" s="101">
        <v>224554</v>
      </c>
      <c r="E472" s="101">
        <v>3</v>
      </c>
      <c r="F472" s="78">
        <f t="shared" si="32"/>
        <v>186744</v>
      </c>
      <c r="G472" s="79">
        <f t="shared" si="33"/>
        <v>192113</v>
      </c>
      <c r="H472" s="80">
        <v>100778</v>
      </c>
      <c r="I472" s="81">
        <v>99295</v>
      </c>
      <c r="J472" s="80">
        <v>12182</v>
      </c>
      <c r="K472" s="81">
        <v>11951</v>
      </c>
      <c r="L472" s="80">
        <v>66434</v>
      </c>
      <c r="M472" s="80">
        <v>228</v>
      </c>
      <c r="N472" s="80">
        <v>7122</v>
      </c>
      <c r="O472" s="81">
        <v>73936</v>
      </c>
      <c r="P472" s="81">
        <v>57</v>
      </c>
      <c r="Q472" s="81">
        <v>6874</v>
      </c>
      <c r="R472" s="80"/>
      <c r="S472" s="81"/>
      <c r="T472" s="78">
        <f t="shared" si="34"/>
        <v>82396</v>
      </c>
      <c r="U472" s="79">
        <f t="shared" si="35"/>
        <v>81828</v>
      </c>
      <c r="V472" s="80">
        <v>15332</v>
      </c>
      <c r="W472" s="81">
        <v>14047</v>
      </c>
      <c r="X472" s="80">
        <v>6738</v>
      </c>
      <c r="Y472" s="81">
        <v>6170</v>
      </c>
      <c r="Z472" s="80">
        <v>60065</v>
      </c>
      <c r="AA472" s="80">
        <v>261</v>
      </c>
      <c r="AB472" s="80">
        <v>0</v>
      </c>
      <c r="AC472" s="81">
        <v>61383</v>
      </c>
      <c r="AD472" s="81">
        <v>228</v>
      </c>
      <c r="AE472" s="81">
        <v>0</v>
      </c>
      <c r="AF472" s="80"/>
      <c r="AG472" s="81"/>
    </row>
    <row r="473" spans="1:33" s="44" customFormat="1" ht="15" customHeight="1">
      <c r="A473" s="159" t="s">
        <v>577</v>
      </c>
      <c r="B473" s="195" t="s">
        <v>598</v>
      </c>
      <c r="C473" s="196"/>
      <c r="D473" s="101">
        <v>224147</v>
      </c>
      <c r="E473" s="101">
        <v>3</v>
      </c>
      <c r="F473" s="78">
        <f t="shared" si="32"/>
        <v>238653</v>
      </c>
      <c r="G473" s="79">
        <f t="shared" si="33"/>
        <v>241433</v>
      </c>
      <c r="H473" s="80">
        <v>238098</v>
      </c>
      <c r="I473" s="81">
        <v>211941</v>
      </c>
      <c r="J473" s="80">
        <v>0</v>
      </c>
      <c r="K473" s="81">
        <v>0</v>
      </c>
      <c r="L473" s="80">
        <v>468</v>
      </c>
      <c r="M473" s="80">
        <v>0</v>
      </c>
      <c r="N473" s="80">
        <v>87</v>
      </c>
      <c r="O473" s="81">
        <v>29457</v>
      </c>
      <c r="P473" s="81">
        <v>35</v>
      </c>
      <c r="Q473" s="81">
        <v>0</v>
      </c>
      <c r="R473" s="80"/>
      <c r="S473" s="81"/>
      <c r="T473" s="78">
        <f t="shared" si="34"/>
        <v>32609</v>
      </c>
      <c r="U473" s="79">
        <f t="shared" si="35"/>
        <v>35287</v>
      </c>
      <c r="V473" s="80">
        <v>31118</v>
      </c>
      <c r="W473" s="81">
        <v>13746</v>
      </c>
      <c r="X473" s="80">
        <v>0</v>
      </c>
      <c r="Y473" s="81">
        <v>0</v>
      </c>
      <c r="Z473" s="80">
        <v>1491</v>
      </c>
      <c r="AA473" s="80">
        <v>0</v>
      </c>
      <c r="AB473" s="80">
        <v>0</v>
      </c>
      <c r="AC473" s="81">
        <v>21538</v>
      </c>
      <c r="AD473" s="81">
        <v>3</v>
      </c>
      <c r="AE473" s="81">
        <v>0</v>
      </c>
      <c r="AF473" s="80"/>
      <c r="AG473" s="81"/>
    </row>
    <row r="474" spans="1:33" s="44" customFormat="1" ht="15" customHeight="1">
      <c r="A474" s="159" t="s">
        <v>577</v>
      </c>
      <c r="B474" s="195" t="s">
        <v>599</v>
      </c>
      <c r="C474" s="196"/>
      <c r="D474" s="101">
        <v>228705</v>
      </c>
      <c r="E474" s="101">
        <v>3</v>
      </c>
      <c r="F474" s="78">
        <f t="shared" si="32"/>
        <v>164439</v>
      </c>
      <c r="G474" s="79">
        <f t="shared" si="33"/>
        <v>163193</v>
      </c>
      <c r="H474" s="80">
        <v>140479</v>
      </c>
      <c r="I474" s="81">
        <v>138207</v>
      </c>
      <c r="J474" s="80">
        <v>9985</v>
      </c>
      <c r="K474" s="81">
        <v>10113</v>
      </c>
      <c r="L474" s="80">
        <v>13126</v>
      </c>
      <c r="M474" s="80">
        <v>849</v>
      </c>
      <c r="N474" s="80">
        <v>0</v>
      </c>
      <c r="O474" s="81">
        <v>14211</v>
      </c>
      <c r="P474" s="81">
        <v>653</v>
      </c>
      <c r="Q474" s="81">
        <v>9</v>
      </c>
      <c r="R474" s="80"/>
      <c r="S474" s="81"/>
      <c r="T474" s="78">
        <f t="shared" si="34"/>
        <v>53236</v>
      </c>
      <c r="U474" s="79">
        <f t="shared" si="35"/>
        <v>39100</v>
      </c>
      <c r="V474" s="80">
        <v>41955</v>
      </c>
      <c r="W474" s="81">
        <v>29295</v>
      </c>
      <c r="X474" s="80">
        <v>84</v>
      </c>
      <c r="Y474" s="81">
        <v>3</v>
      </c>
      <c r="Z474" s="80">
        <v>10837</v>
      </c>
      <c r="AA474" s="80">
        <v>360</v>
      </c>
      <c r="AB474" s="80">
        <v>0</v>
      </c>
      <c r="AC474" s="81">
        <v>9484</v>
      </c>
      <c r="AD474" s="81">
        <v>318</v>
      </c>
      <c r="AE474" s="81">
        <v>0</v>
      </c>
      <c r="AF474" s="80"/>
      <c r="AG474" s="81"/>
    </row>
    <row r="475" spans="1:33" s="44" customFormat="1" ht="15" customHeight="1">
      <c r="A475" s="159" t="s">
        <v>577</v>
      </c>
      <c r="B475" s="99" t="s">
        <v>600</v>
      </c>
      <c r="C475" s="196" t="s">
        <v>103</v>
      </c>
      <c r="D475" s="101">
        <v>229063</v>
      </c>
      <c r="E475" s="101">
        <v>3</v>
      </c>
      <c r="F475" s="78">
        <f t="shared" si="32"/>
        <v>177455</v>
      </c>
      <c r="G475" s="79">
        <f t="shared" si="33"/>
        <v>200044</v>
      </c>
      <c r="H475" s="80">
        <v>166799</v>
      </c>
      <c r="I475" s="81">
        <v>180873</v>
      </c>
      <c r="J475" s="80">
        <v>0</v>
      </c>
      <c r="K475" s="81">
        <v>0</v>
      </c>
      <c r="L475" s="80">
        <v>0</v>
      </c>
      <c r="M475" s="80">
        <v>0</v>
      </c>
      <c r="N475" s="80">
        <v>10656</v>
      </c>
      <c r="O475" s="81">
        <v>0</v>
      </c>
      <c r="P475" s="81">
        <v>0</v>
      </c>
      <c r="Q475" s="81">
        <v>19171</v>
      </c>
      <c r="R475" s="80"/>
      <c r="S475" s="81"/>
      <c r="T475" s="78">
        <f t="shared" si="34"/>
        <v>51866</v>
      </c>
      <c r="U475" s="79">
        <f t="shared" si="35"/>
        <v>53428</v>
      </c>
      <c r="V475" s="80">
        <v>45188</v>
      </c>
      <c r="W475" s="81">
        <v>45056</v>
      </c>
      <c r="X475" s="80">
        <v>27</v>
      </c>
      <c r="Y475" s="81">
        <v>12</v>
      </c>
      <c r="Z475" s="80">
        <v>0</v>
      </c>
      <c r="AA475" s="80">
        <v>0</v>
      </c>
      <c r="AB475" s="80">
        <v>6651</v>
      </c>
      <c r="AC475" s="81">
        <v>0</v>
      </c>
      <c r="AD475" s="81">
        <v>0</v>
      </c>
      <c r="AE475" s="81">
        <v>8360</v>
      </c>
      <c r="AF475" s="80"/>
      <c r="AG475" s="81"/>
    </row>
    <row r="476" spans="1:33" s="44" customFormat="1" ht="15" customHeight="1">
      <c r="A476" s="159" t="s">
        <v>577</v>
      </c>
      <c r="B476" s="198" t="s">
        <v>601</v>
      </c>
      <c r="C476" s="160"/>
      <c r="D476" s="101">
        <v>228459</v>
      </c>
      <c r="E476" s="101">
        <v>2</v>
      </c>
      <c r="F476" s="78">
        <f t="shared" si="32"/>
        <v>868584</v>
      </c>
      <c r="G476" s="79">
        <f t="shared" si="33"/>
        <v>874668</v>
      </c>
      <c r="H476" s="80">
        <v>792770</v>
      </c>
      <c r="I476" s="81">
        <v>783119</v>
      </c>
      <c r="J476" s="80">
        <v>24296</v>
      </c>
      <c r="K476" s="81">
        <v>28080</v>
      </c>
      <c r="L476" s="80">
        <v>50117</v>
      </c>
      <c r="M476" s="80">
        <v>528</v>
      </c>
      <c r="N476" s="80">
        <v>873</v>
      </c>
      <c r="O476" s="81">
        <v>63010</v>
      </c>
      <c r="P476" s="81">
        <v>414</v>
      </c>
      <c r="Q476" s="81">
        <v>45</v>
      </c>
      <c r="R476" s="80"/>
      <c r="S476" s="81"/>
      <c r="T476" s="78">
        <f t="shared" si="34"/>
        <v>73976</v>
      </c>
      <c r="U476" s="79">
        <f t="shared" si="35"/>
        <v>75155</v>
      </c>
      <c r="V476" s="80">
        <v>54880</v>
      </c>
      <c r="W476" s="81">
        <v>48806</v>
      </c>
      <c r="X476" s="80">
        <v>6660</v>
      </c>
      <c r="Y476" s="81">
        <v>10876</v>
      </c>
      <c r="Z476" s="80">
        <v>10844</v>
      </c>
      <c r="AA476" s="80">
        <v>1230</v>
      </c>
      <c r="AB476" s="80">
        <v>362</v>
      </c>
      <c r="AC476" s="81">
        <v>14391</v>
      </c>
      <c r="AD476" s="81">
        <v>684</v>
      </c>
      <c r="AE476" s="81">
        <v>398</v>
      </c>
      <c r="AF476" s="80"/>
      <c r="AG476" s="81"/>
    </row>
    <row r="477" spans="1:33" s="44" customFormat="1" ht="15" customHeight="1">
      <c r="A477" s="159" t="s">
        <v>577</v>
      </c>
      <c r="B477" s="99" t="s">
        <v>602</v>
      </c>
      <c r="C477" s="196"/>
      <c r="D477" s="101">
        <v>225414</v>
      </c>
      <c r="E477" s="101">
        <v>3</v>
      </c>
      <c r="F477" s="78">
        <f t="shared" si="32"/>
        <v>123529</v>
      </c>
      <c r="G477" s="79">
        <f t="shared" si="33"/>
        <v>129026</v>
      </c>
      <c r="H477" s="80">
        <v>88027</v>
      </c>
      <c r="I477" s="81">
        <v>92447</v>
      </c>
      <c r="J477" s="80">
        <v>7755</v>
      </c>
      <c r="K477" s="81">
        <v>7845</v>
      </c>
      <c r="L477" s="80">
        <v>27747</v>
      </c>
      <c r="M477" s="80">
        <v>0</v>
      </c>
      <c r="N477" s="80">
        <v>0</v>
      </c>
      <c r="O477" s="81">
        <v>28734</v>
      </c>
      <c r="P477" s="81">
        <v>0</v>
      </c>
      <c r="Q477" s="81">
        <v>0</v>
      </c>
      <c r="R477" s="80"/>
      <c r="S477" s="81"/>
      <c r="T477" s="78">
        <f t="shared" si="34"/>
        <v>52421</v>
      </c>
      <c r="U477" s="79">
        <f t="shared" si="35"/>
        <v>42680</v>
      </c>
      <c r="V477" s="80">
        <v>35622</v>
      </c>
      <c r="W477" s="81">
        <v>27217</v>
      </c>
      <c r="X477" s="80">
        <v>3011</v>
      </c>
      <c r="Y477" s="81">
        <v>3065</v>
      </c>
      <c r="Z477" s="80">
        <v>13788</v>
      </c>
      <c r="AA477" s="80">
        <v>0</v>
      </c>
      <c r="AB477" s="80">
        <v>0</v>
      </c>
      <c r="AC477" s="81">
        <v>12398</v>
      </c>
      <c r="AD477" s="81">
        <v>0</v>
      </c>
      <c r="AE477" s="81">
        <v>0</v>
      </c>
      <c r="AF477" s="80"/>
      <c r="AG477" s="81"/>
    </row>
    <row r="478" spans="1:33" s="44" customFormat="1" ht="15" customHeight="1">
      <c r="A478" s="159" t="s">
        <v>577</v>
      </c>
      <c r="B478" s="198" t="s">
        <v>603</v>
      </c>
      <c r="C478" s="196"/>
      <c r="D478" s="101">
        <v>227368</v>
      </c>
      <c r="E478" s="101">
        <v>3</v>
      </c>
      <c r="F478" s="78">
        <f t="shared" si="32"/>
        <v>618641</v>
      </c>
      <c r="G478" s="79">
        <f t="shared" si="33"/>
        <v>636779</v>
      </c>
      <c r="H478" s="80">
        <v>484474</v>
      </c>
      <c r="I478" s="81">
        <v>464072</v>
      </c>
      <c r="J478" s="80">
        <v>1563</v>
      </c>
      <c r="K478" s="81">
        <v>1598</v>
      </c>
      <c r="L478" s="80">
        <v>119555</v>
      </c>
      <c r="M478" s="80">
        <v>13049</v>
      </c>
      <c r="N478" s="80">
        <v>0</v>
      </c>
      <c r="O478" s="81">
        <v>150157</v>
      </c>
      <c r="P478" s="81">
        <v>20952</v>
      </c>
      <c r="Q478" s="81">
        <v>0</v>
      </c>
      <c r="R478" s="80"/>
      <c r="S478" s="81"/>
      <c r="T478" s="78">
        <f t="shared" si="34"/>
        <v>59540</v>
      </c>
      <c r="U478" s="79">
        <f t="shared" si="35"/>
        <v>59039</v>
      </c>
      <c r="V478" s="80">
        <v>26138</v>
      </c>
      <c r="W478" s="81">
        <v>24359</v>
      </c>
      <c r="X478" s="80">
        <v>1647</v>
      </c>
      <c r="Y478" s="81">
        <v>1602</v>
      </c>
      <c r="Z478" s="80">
        <v>29709</v>
      </c>
      <c r="AA478" s="80">
        <v>2046</v>
      </c>
      <c r="AB478" s="80">
        <v>0</v>
      </c>
      <c r="AC478" s="81">
        <v>29940</v>
      </c>
      <c r="AD478" s="81">
        <v>3138</v>
      </c>
      <c r="AE478" s="81">
        <v>0</v>
      </c>
      <c r="AF478" s="80"/>
      <c r="AG478" s="81"/>
    </row>
    <row r="479" spans="1:33" s="44" customFormat="1" ht="15" customHeight="1">
      <c r="A479" s="159" t="s">
        <v>577</v>
      </c>
      <c r="B479" s="99" t="s">
        <v>604</v>
      </c>
      <c r="C479" s="196"/>
      <c r="D479" s="101">
        <v>228802</v>
      </c>
      <c r="E479" s="101">
        <v>3</v>
      </c>
      <c r="F479" s="78">
        <f t="shared" si="32"/>
        <v>160931</v>
      </c>
      <c r="G479" s="79">
        <f t="shared" si="33"/>
        <v>168423</v>
      </c>
      <c r="H479" s="80">
        <v>96723</v>
      </c>
      <c r="I479" s="81">
        <v>94792</v>
      </c>
      <c r="J479" s="80">
        <v>11135</v>
      </c>
      <c r="K479" s="81">
        <v>12982</v>
      </c>
      <c r="L479" s="80">
        <v>52776</v>
      </c>
      <c r="M479" s="80">
        <v>297</v>
      </c>
      <c r="N479" s="80">
        <v>0</v>
      </c>
      <c r="O479" s="81">
        <v>60184</v>
      </c>
      <c r="P479" s="81">
        <v>465</v>
      </c>
      <c r="Q479" s="81">
        <v>0</v>
      </c>
      <c r="R479" s="80"/>
      <c r="S479" s="81"/>
      <c r="T479" s="78">
        <f t="shared" si="34"/>
        <v>41108</v>
      </c>
      <c r="U479" s="79">
        <f t="shared" si="35"/>
        <v>42879</v>
      </c>
      <c r="V479" s="80">
        <v>7389</v>
      </c>
      <c r="W479" s="81">
        <v>7126</v>
      </c>
      <c r="X479" s="80">
        <v>54</v>
      </c>
      <c r="Y479" s="81">
        <v>36</v>
      </c>
      <c r="Z479" s="80">
        <v>33626</v>
      </c>
      <c r="AA479" s="80">
        <v>39</v>
      </c>
      <c r="AB479" s="80">
        <v>0</v>
      </c>
      <c r="AC479" s="81">
        <v>35639</v>
      </c>
      <c r="AD479" s="81">
        <v>78</v>
      </c>
      <c r="AE479" s="81">
        <v>0</v>
      </c>
      <c r="AF479" s="80"/>
      <c r="AG479" s="81"/>
    </row>
    <row r="480" spans="1:33" s="44" customFormat="1" ht="15" customHeight="1">
      <c r="A480" s="98" t="s">
        <v>577</v>
      </c>
      <c r="B480" s="99" t="s">
        <v>605</v>
      </c>
      <c r="C480" s="196"/>
      <c r="D480" s="101">
        <v>229018</v>
      </c>
      <c r="E480" s="101">
        <v>3</v>
      </c>
      <c r="F480" s="78">
        <f t="shared" si="32"/>
        <v>114670</v>
      </c>
      <c r="G480" s="79">
        <f t="shared" si="33"/>
        <v>119104</v>
      </c>
      <c r="H480" s="80">
        <v>58969</v>
      </c>
      <c r="I480" s="81">
        <v>57275</v>
      </c>
      <c r="J480" s="80">
        <v>133</v>
      </c>
      <c r="K480" s="81">
        <v>53</v>
      </c>
      <c r="L480" s="80">
        <v>55568</v>
      </c>
      <c r="M480" s="80">
        <v>0</v>
      </c>
      <c r="N480" s="80">
        <v>0</v>
      </c>
      <c r="O480" s="81">
        <v>61776</v>
      </c>
      <c r="P480" s="81">
        <v>0</v>
      </c>
      <c r="Q480" s="81">
        <v>0</v>
      </c>
      <c r="R480" s="80"/>
      <c r="S480" s="81"/>
      <c r="T480" s="78">
        <f t="shared" si="34"/>
        <v>11436</v>
      </c>
      <c r="U480" s="79">
        <f t="shared" si="35"/>
        <v>11832</v>
      </c>
      <c r="V480" s="80">
        <v>3108</v>
      </c>
      <c r="W480" s="81">
        <v>2289</v>
      </c>
      <c r="X480" s="80">
        <v>0</v>
      </c>
      <c r="Y480" s="81">
        <v>0</v>
      </c>
      <c r="Z480" s="80">
        <v>8328</v>
      </c>
      <c r="AA480" s="80">
        <v>0</v>
      </c>
      <c r="AB480" s="80">
        <v>0</v>
      </c>
      <c r="AC480" s="81">
        <v>9543</v>
      </c>
      <c r="AD480" s="81">
        <v>0</v>
      </c>
      <c r="AE480" s="81">
        <v>0</v>
      </c>
      <c r="AF480" s="80"/>
      <c r="AG480" s="81"/>
    </row>
    <row r="481" spans="1:33" s="44" customFormat="1" ht="15" customHeight="1">
      <c r="A481" s="159" t="s">
        <v>577</v>
      </c>
      <c r="B481" s="195" t="s">
        <v>606</v>
      </c>
      <c r="C481" s="196"/>
      <c r="D481" s="101">
        <v>229814</v>
      </c>
      <c r="E481" s="101">
        <v>3</v>
      </c>
      <c r="F481" s="78">
        <f t="shared" si="32"/>
        <v>190819</v>
      </c>
      <c r="G481" s="79">
        <f t="shared" si="33"/>
        <v>188023</v>
      </c>
      <c r="H481" s="80">
        <v>146158</v>
      </c>
      <c r="I481" s="81">
        <v>141050</v>
      </c>
      <c r="J481" s="80">
        <v>0</v>
      </c>
      <c r="K481" s="81">
        <v>0</v>
      </c>
      <c r="L481" s="80">
        <v>44661</v>
      </c>
      <c r="M481" s="80">
        <v>0</v>
      </c>
      <c r="N481" s="80">
        <v>0</v>
      </c>
      <c r="O481" s="81">
        <v>46973</v>
      </c>
      <c r="P481" s="81">
        <v>0</v>
      </c>
      <c r="Q481" s="81">
        <v>0</v>
      </c>
      <c r="R481" s="80"/>
      <c r="S481" s="81"/>
      <c r="T481" s="78">
        <f t="shared" si="34"/>
        <v>36617</v>
      </c>
      <c r="U481" s="79">
        <f t="shared" si="35"/>
        <v>39347</v>
      </c>
      <c r="V481" s="80">
        <v>9158</v>
      </c>
      <c r="W481" s="81">
        <v>7955</v>
      </c>
      <c r="X481" s="80">
        <v>0</v>
      </c>
      <c r="Y481" s="81">
        <v>0</v>
      </c>
      <c r="Z481" s="80">
        <v>27459</v>
      </c>
      <c r="AA481" s="80">
        <v>0</v>
      </c>
      <c r="AB481" s="80">
        <v>0</v>
      </c>
      <c r="AC481" s="81">
        <v>31392</v>
      </c>
      <c r="AD481" s="81">
        <v>0</v>
      </c>
      <c r="AE481" s="81">
        <v>0</v>
      </c>
      <c r="AF481" s="80"/>
      <c r="AG481" s="81"/>
    </row>
    <row r="482" spans="1:33" s="44" customFormat="1" ht="15" customHeight="1">
      <c r="A482" s="159" t="s">
        <v>577</v>
      </c>
      <c r="B482" s="195" t="s">
        <v>607</v>
      </c>
      <c r="C482" s="196"/>
      <c r="D482" s="101">
        <v>483036</v>
      </c>
      <c r="E482" s="101">
        <v>4</v>
      </c>
      <c r="F482" s="78">
        <f t="shared" si="32"/>
        <v>37373</v>
      </c>
      <c r="G482" s="79">
        <f t="shared" si="33"/>
        <v>40017</v>
      </c>
      <c r="H482" s="80">
        <v>20620</v>
      </c>
      <c r="I482" s="81">
        <v>21435</v>
      </c>
      <c r="J482" s="80">
        <v>2112</v>
      </c>
      <c r="K482" s="81">
        <v>1788</v>
      </c>
      <c r="L482" s="80">
        <v>14557</v>
      </c>
      <c r="M482" s="80">
        <v>84</v>
      </c>
      <c r="N482" s="80">
        <v>0</v>
      </c>
      <c r="O482" s="81">
        <v>16710</v>
      </c>
      <c r="P482" s="81">
        <v>84</v>
      </c>
      <c r="Q482" s="81">
        <v>0</v>
      </c>
      <c r="R482" s="80"/>
      <c r="S482" s="81"/>
      <c r="T482" s="78">
        <f t="shared" ref="T482:T545" si="36">SUM(V482,X481,Z482,AA482,AB482,AF482)</f>
        <v>5827</v>
      </c>
      <c r="U482" s="79">
        <f t="shared" si="35"/>
        <v>6018</v>
      </c>
      <c r="V482" s="80">
        <v>2032</v>
      </c>
      <c r="W482" s="81">
        <v>1419</v>
      </c>
      <c r="X482" s="80">
        <v>570</v>
      </c>
      <c r="Y482" s="81">
        <v>474</v>
      </c>
      <c r="Z482" s="80">
        <v>3786</v>
      </c>
      <c r="AA482" s="80">
        <v>9</v>
      </c>
      <c r="AB482" s="80">
        <v>0</v>
      </c>
      <c r="AC482" s="81">
        <v>4125</v>
      </c>
      <c r="AD482" s="81">
        <v>0</v>
      </c>
      <c r="AE482" s="81">
        <v>0</v>
      </c>
      <c r="AF482" s="80"/>
      <c r="AG482" s="81"/>
    </row>
    <row r="483" spans="1:33" s="44" customFormat="1" ht="15" customHeight="1">
      <c r="A483" s="159" t="s">
        <v>577</v>
      </c>
      <c r="B483" s="99" t="s">
        <v>608</v>
      </c>
      <c r="C483" s="196"/>
      <c r="D483" s="101">
        <v>224545</v>
      </c>
      <c r="E483" s="101">
        <v>4</v>
      </c>
      <c r="F483" s="78">
        <f t="shared" si="32"/>
        <v>41705</v>
      </c>
      <c r="G483" s="79">
        <f t="shared" si="33"/>
        <v>41186</v>
      </c>
      <c r="H483" s="80">
        <v>21042</v>
      </c>
      <c r="I483" s="81">
        <v>19937</v>
      </c>
      <c r="J483" s="80">
        <v>2894</v>
      </c>
      <c r="K483" s="81">
        <v>2482</v>
      </c>
      <c r="L483" s="80">
        <v>17712</v>
      </c>
      <c r="M483" s="80">
        <v>57</v>
      </c>
      <c r="N483" s="80">
        <v>0</v>
      </c>
      <c r="O483" s="81">
        <v>18665</v>
      </c>
      <c r="P483" s="81">
        <v>102</v>
      </c>
      <c r="Q483" s="81">
        <v>0</v>
      </c>
      <c r="R483" s="80"/>
      <c r="S483" s="81"/>
      <c r="T483" s="78">
        <f t="shared" si="36"/>
        <v>10721</v>
      </c>
      <c r="U483" s="79">
        <f t="shared" si="35"/>
        <v>10359</v>
      </c>
      <c r="V483" s="80">
        <v>5306</v>
      </c>
      <c r="W483" s="81">
        <v>5382</v>
      </c>
      <c r="X483" s="80">
        <v>66</v>
      </c>
      <c r="Y483" s="81">
        <v>105</v>
      </c>
      <c r="Z483" s="80">
        <v>4845</v>
      </c>
      <c r="AA483" s="80">
        <v>0</v>
      </c>
      <c r="AB483" s="80">
        <v>0</v>
      </c>
      <c r="AC483" s="81">
        <v>4872</v>
      </c>
      <c r="AD483" s="81">
        <v>0</v>
      </c>
      <c r="AE483" s="81">
        <v>0</v>
      </c>
      <c r="AF483" s="80"/>
      <c r="AG483" s="81"/>
    </row>
    <row r="484" spans="1:33" s="44" customFormat="1" ht="15" customHeight="1">
      <c r="A484" s="159" t="s">
        <v>577</v>
      </c>
      <c r="B484" s="99" t="s">
        <v>609</v>
      </c>
      <c r="C484" s="196"/>
      <c r="D484" s="101">
        <v>225502</v>
      </c>
      <c r="E484" s="101">
        <v>4</v>
      </c>
      <c r="F484" s="78">
        <f t="shared" si="32"/>
        <v>66020</v>
      </c>
      <c r="G484" s="79">
        <f t="shared" si="33"/>
        <v>68024</v>
      </c>
      <c r="H484" s="80">
        <v>22349</v>
      </c>
      <c r="I484" s="81">
        <v>22227</v>
      </c>
      <c r="J484" s="80">
        <v>4539</v>
      </c>
      <c r="K484" s="81">
        <v>4306</v>
      </c>
      <c r="L484" s="80">
        <v>37026</v>
      </c>
      <c r="M484" s="80">
        <v>2106</v>
      </c>
      <c r="N484" s="80">
        <v>0</v>
      </c>
      <c r="O484" s="81">
        <v>38197</v>
      </c>
      <c r="P484" s="81">
        <v>3294</v>
      </c>
      <c r="Q484" s="81">
        <v>0</v>
      </c>
      <c r="R484" s="80"/>
      <c r="S484" s="81"/>
      <c r="T484" s="78">
        <f t="shared" si="36"/>
        <v>15878</v>
      </c>
      <c r="U484" s="79">
        <f t="shared" si="35"/>
        <v>17853</v>
      </c>
      <c r="V484" s="80">
        <v>414</v>
      </c>
      <c r="W484" s="81">
        <v>423</v>
      </c>
      <c r="X484" s="80">
        <v>1947</v>
      </c>
      <c r="Y484" s="81">
        <v>1680</v>
      </c>
      <c r="Z484" s="80">
        <v>14891</v>
      </c>
      <c r="AA484" s="80">
        <v>507</v>
      </c>
      <c r="AB484" s="80">
        <v>0</v>
      </c>
      <c r="AC484" s="81">
        <v>15060</v>
      </c>
      <c r="AD484" s="81">
        <v>690</v>
      </c>
      <c r="AE484" s="81">
        <v>0</v>
      </c>
      <c r="AF484" s="80"/>
      <c r="AG484" s="81"/>
    </row>
    <row r="485" spans="1:33" s="44" customFormat="1" ht="15" customHeight="1">
      <c r="A485" s="159" t="s">
        <v>577</v>
      </c>
      <c r="B485" s="99" t="s">
        <v>610</v>
      </c>
      <c r="C485" s="196" t="s">
        <v>689</v>
      </c>
      <c r="D485" s="101" t="s">
        <v>611</v>
      </c>
      <c r="E485" s="101">
        <v>5</v>
      </c>
      <c r="F485" s="78">
        <f t="shared" si="32"/>
        <v>15705</v>
      </c>
      <c r="G485" s="79">
        <f t="shared" si="33"/>
        <v>15669</v>
      </c>
      <c r="H485" s="80">
        <v>3177</v>
      </c>
      <c r="I485" s="81">
        <v>2823</v>
      </c>
      <c r="J485" s="80">
        <v>0</v>
      </c>
      <c r="K485" s="81">
        <v>0</v>
      </c>
      <c r="L485" s="80">
        <v>7281</v>
      </c>
      <c r="M485" s="80">
        <v>5247</v>
      </c>
      <c r="N485" s="80">
        <v>0</v>
      </c>
      <c r="O485" s="81">
        <v>7533</v>
      </c>
      <c r="P485" s="81">
        <v>5313</v>
      </c>
      <c r="Q485" s="81">
        <v>0</v>
      </c>
      <c r="R485" s="80"/>
      <c r="S485" s="81"/>
      <c r="T485" s="78">
        <f t="shared" si="36"/>
        <v>4308</v>
      </c>
      <c r="U485" s="79">
        <f t="shared" si="35"/>
        <v>2295</v>
      </c>
      <c r="V485" s="80">
        <v>939</v>
      </c>
      <c r="W485" s="81">
        <v>1026</v>
      </c>
      <c r="X485" s="80">
        <v>0</v>
      </c>
      <c r="Y485" s="81">
        <v>0</v>
      </c>
      <c r="Z485" s="80">
        <v>1107</v>
      </c>
      <c r="AA485" s="80">
        <v>315</v>
      </c>
      <c r="AB485" s="80">
        <v>0</v>
      </c>
      <c r="AC485" s="81">
        <v>1113</v>
      </c>
      <c r="AD485" s="81">
        <v>156</v>
      </c>
      <c r="AE485" s="81">
        <v>0</v>
      </c>
      <c r="AF485" s="80"/>
      <c r="AG485" s="81"/>
    </row>
    <row r="486" spans="1:33" s="44" customFormat="1" ht="15" customHeight="1">
      <c r="A486" s="159" t="s">
        <v>577</v>
      </c>
      <c r="B486" s="99" t="s">
        <v>612</v>
      </c>
      <c r="C486" s="196"/>
      <c r="D486" s="101">
        <v>870501</v>
      </c>
      <c r="E486" s="101">
        <v>5</v>
      </c>
      <c r="F486" s="78">
        <f t="shared" si="32"/>
        <v>88219</v>
      </c>
      <c r="G486" s="79">
        <f t="shared" si="33"/>
        <v>115358</v>
      </c>
      <c r="H486" s="80">
        <v>70110</v>
      </c>
      <c r="I486" s="81">
        <v>74875</v>
      </c>
      <c r="J486" s="80">
        <v>2641</v>
      </c>
      <c r="K486" s="81">
        <v>2219</v>
      </c>
      <c r="L486" s="80">
        <v>13041</v>
      </c>
      <c r="M486" s="80">
        <v>0</v>
      </c>
      <c r="N486" s="80">
        <v>2427</v>
      </c>
      <c r="O486" s="81">
        <v>32105</v>
      </c>
      <c r="P486" s="81">
        <v>0</v>
      </c>
      <c r="Q486" s="81">
        <v>6159</v>
      </c>
      <c r="R486" s="80"/>
      <c r="S486" s="81"/>
      <c r="T486" s="78">
        <f t="shared" si="36"/>
        <v>12969</v>
      </c>
      <c r="U486" s="79">
        <f t="shared" si="35"/>
        <v>15136</v>
      </c>
      <c r="V486" s="80">
        <v>9297</v>
      </c>
      <c r="W486" s="81">
        <v>5961</v>
      </c>
      <c r="X486" s="80">
        <v>201</v>
      </c>
      <c r="Y486" s="81">
        <v>132</v>
      </c>
      <c r="Z486" s="80">
        <v>2682</v>
      </c>
      <c r="AA486" s="80">
        <v>0</v>
      </c>
      <c r="AB486" s="80">
        <v>990</v>
      </c>
      <c r="AC486" s="81">
        <v>6529</v>
      </c>
      <c r="AD486" s="81">
        <v>0</v>
      </c>
      <c r="AE486" s="81">
        <v>2514</v>
      </c>
      <c r="AF486" s="80"/>
      <c r="AG486" s="81"/>
    </row>
    <row r="487" spans="1:33" s="44" customFormat="1" ht="15" customHeight="1">
      <c r="A487" s="159" t="s">
        <v>577</v>
      </c>
      <c r="B487" s="99" t="s">
        <v>613</v>
      </c>
      <c r="C487" s="196" t="s">
        <v>140</v>
      </c>
      <c r="D487" s="101">
        <v>225432</v>
      </c>
      <c r="E487" s="101">
        <v>5</v>
      </c>
      <c r="F487" s="78">
        <f t="shared" si="32"/>
        <v>259353</v>
      </c>
      <c r="G487" s="79">
        <f t="shared" si="33"/>
        <v>253072</v>
      </c>
      <c r="H487" s="80">
        <v>139172</v>
      </c>
      <c r="I487" s="81">
        <v>131754</v>
      </c>
      <c r="J487" s="80">
        <v>9275</v>
      </c>
      <c r="K487" s="81">
        <v>7752</v>
      </c>
      <c r="L487" s="80">
        <v>110886</v>
      </c>
      <c r="M487" s="80">
        <v>20</v>
      </c>
      <c r="N487" s="80">
        <v>0</v>
      </c>
      <c r="O487" s="81">
        <v>113566</v>
      </c>
      <c r="P487" s="81">
        <v>0</v>
      </c>
      <c r="Q487" s="81">
        <v>0</v>
      </c>
      <c r="R487" s="80"/>
      <c r="S487" s="81"/>
      <c r="T487" s="78">
        <f t="shared" si="36"/>
        <v>22469</v>
      </c>
      <c r="U487" s="79">
        <f t="shared" si="35"/>
        <v>27896</v>
      </c>
      <c r="V487" s="80">
        <v>1913</v>
      </c>
      <c r="W487" s="81">
        <v>2624</v>
      </c>
      <c r="X487" s="80">
        <v>36</v>
      </c>
      <c r="Y487" s="81">
        <v>0</v>
      </c>
      <c r="Z487" s="80">
        <v>20355</v>
      </c>
      <c r="AA487" s="80">
        <v>0</v>
      </c>
      <c r="AB487" s="80">
        <v>0</v>
      </c>
      <c r="AC487" s="81">
        <v>25272</v>
      </c>
      <c r="AD487" s="81">
        <v>0</v>
      </c>
      <c r="AE487" s="81">
        <v>0</v>
      </c>
      <c r="AF487" s="80"/>
      <c r="AG487" s="81"/>
    </row>
    <row r="488" spans="1:33" s="44" customFormat="1" ht="15" customHeight="1">
      <c r="A488" s="159" t="s">
        <v>577</v>
      </c>
      <c r="B488" s="195" t="s">
        <v>614</v>
      </c>
      <c r="C488" s="160"/>
      <c r="D488" s="101">
        <v>228714</v>
      </c>
      <c r="E488" s="101">
        <v>5</v>
      </c>
      <c r="F488" s="78">
        <f t="shared" si="32"/>
        <v>62241</v>
      </c>
      <c r="G488" s="79">
        <f t="shared" si="33"/>
        <v>63002</v>
      </c>
      <c r="H488" s="80">
        <v>57215</v>
      </c>
      <c r="I488" s="81">
        <v>52487</v>
      </c>
      <c r="J488" s="80">
        <v>3050</v>
      </c>
      <c r="K488" s="81">
        <v>8218</v>
      </c>
      <c r="L488" s="80">
        <v>1912</v>
      </c>
      <c r="M488" s="80">
        <v>0</v>
      </c>
      <c r="N488" s="80">
        <v>64</v>
      </c>
      <c r="O488" s="81">
        <v>2265</v>
      </c>
      <c r="P488" s="81">
        <v>0</v>
      </c>
      <c r="Q488" s="81">
        <v>32</v>
      </c>
      <c r="R488" s="80"/>
      <c r="S488" s="81"/>
      <c r="T488" s="78">
        <f t="shared" si="36"/>
        <v>2569</v>
      </c>
      <c r="U488" s="79">
        <f t="shared" si="35"/>
        <v>2551</v>
      </c>
      <c r="V488" s="80">
        <v>2110</v>
      </c>
      <c r="W488" s="81">
        <v>1772</v>
      </c>
      <c r="X488" s="80">
        <v>97</v>
      </c>
      <c r="Y488" s="81">
        <v>92</v>
      </c>
      <c r="Z488" s="80">
        <v>423</v>
      </c>
      <c r="AA488" s="80">
        <v>0</v>
      </c>
      <c r="AB488" s="80">
        <v>0</v>
      </c>
      <c r="AC488" s="81">
        <v>687</v>
      </c>
      <c r="AD488" s="81">
        <v>0</v>
      </c>
      <c r="AE488" s="81">
        <v>0</v>
      </c>
      <c r="AF488" s="80"/>
      <c r="AG488" s="81"/>
    </row>
    <row r="489" spans="1:33" s="44" customFormat="1" ht="15" customHeight="1">
      <c r="A489" s="159" t="s">
        <v>577</v>
      </c>
      <c r="B489" s="199" t="s">
        <v>615</v>
      </c>
      <c r="C489" s="196"/>
      <c r="D489" s="101">
        <v>223506</v>
      </c>
      <c r="E489" s="101">
        <v>7</v>
      </c>
      <c r="F489" s="78">
        <f t="shared" si="32"/>
        <v>76185</v>
      </c>
      <c r="G489" s="79">
        <f t="shared" si="33"/>
        <v>75644</v>
      </c>
      <c r="H489" s="80">
        <v>52596</v>
      </c>
      <c r="I489" s="81">
        <v>51398</v>
      </c>
      <c r="J489" s="80">
        <v>4999</v>
      </c>
      <c r="K489" s="81">
        <v>4888</v>
      </c>
      <c r="L489" s="80">
        <v>18590</v>
      </c>
      <c r="M489" s="80">
        <v>0</v>
      </c>
      <c r="N489" s="80">
        <v>0</v>
      </c>
      <c r="O489" s="81">
        <v>19358</v>
      </c>
      <c r="P489" s="81">
        <v>0</v>
      </c>
      <c r="Q489" s="81">
        <v>0</v>
      </c>
      <c r="R489" s="80"/>
      <c r="S489" s="81"/>
      <c r="T489" s="78">
        <f t="shared" si="36"/>
        <v>97</v>
      </c>
      <c r="U489" s="79">
        <f t="shared" si="35"/>
        <v>0</v>
      </c>
      <c r="V489" s="80">
        <v>0</v>
      </c>
      <c r="W489" s="81">
        <v>0</v>
      </c>
      <c r="X489" s="80">
        <v>0</v>
      </c>
      <c r="Y489" s="81">
        <v>0</v>
      </c>
      <c r="Z489" s="80">
        <v>0</v>
      </c>
      <c r="AA489" s="80">
        <v>0</v>
      </c>
      <c r="AB489" s="80">
        <v>0</v>
      </c>
      <c r="AC489" s="81">
        <v>0</v>
      </c>
      <c r="AD489" s="81">
        <v>0</v>
      </c>
      <c r="AE489" s="81">
        <v>0</v>
      </c>
      <c r="AF489" s="80"/>
      <c r="AG489" s="81"/>
    </row>
    <row r="490" spans="1:33" s="44" customFormat="1" ht="15" customHeight="1">
      <c r="A490" s="159" t="s">
        <v>577</v>
      </c>
      <c r="B490" s="199" t="s">
        <v>616</v>
      </c>
      <c r="C490" s="196"/>
      <c r="D490" s="101">
        <v>226806</v>
      </c>
      <c r="E490" s="101">
        <v>7</v>
      </c>
      <c r="F490" s="78">
        <f t="shared" si="32"/>
        <v>113676</v>
      </c>
      <c r="G490" s="79">
        <f t="shared" si="33"/>
        <v>110696</v>
      </c>
      <c r="H490" s="80">
        <v>59021</v>
      </c>
      <c r="I490" s="81">
        <v>58662</v>
      </c>
      <c r="J490" s="80">
        <v>8915</v>
      </c>
      <c r="K490" s="81">
        <v>9666</v>
      </c>
      <c r="L490" s="80">
        <v>44958</v>
      </c>
      <c r="M490" s="80">
        <v>782</v>
      </c>
      <c r="N490" s="80">
        <v>0</v>
      </c>
      <c r="O490" s="81">
        <v>41859</v>
      </c>
      <c r="P490" s="81">
        <v>509</v>
      </c>
      <c r="Q490" s="81">
        <v>0</v>
      </c>
      <c r="R490" s="80"/>
      <c r="S490" s="81"/>
      <c r="T490" s="78">
        <f t="shared" si="36"/>
        <v>0</v>
      </c>
      <c r="U490" s="79">
        <f t="shared" si="35"/>
        <v>0</v>
      </c>
      <c r="V490" s="80">
        <v>0</v>
      </c>
      <c r="W490" s="81">
        <v>0</v>
      </c>
      <c r="X490" s="80">
        <v>0</v>
      </c>
      <c r="Y490" s="81">
        <v>0</v>
      </c>
      <c r="Z490" s="80">
        <v>0</v>
      </c>
      <c r="AA490" s="80">
        <v>0</v>
      </c>
      <c r="AB490" s="80">
        <v>0</v>
      </c>
      <c r="AC490" s="81">
        <v>0</v>
      </c>
      <c r="AD490" s="81">
        <v>0</v>
      </c>
      <c r="AE490" s="81">
        <v>0</v>
      </c>
      <c r="AF490" s="80"/>
      <c r="AG490" s="81"/>
    </row>
    <row r="491" spans="1:33" s="44" customFormat="1" ht="15" customHeight="1">
      <c r="A491" s="159" t="s">
        <v>577</v>
      </c>
      <c r="B491" s="199" t="s">
        <v>617</v>
      </c>
      <c r="C491" s="196"/>
      <c r="D491" s="101">
        <v>409315</v>
      </c>
      <c r="E491" s="200">
        <v>7</v>
      </c>
      <c r="F491" s="78">
        <f t="shared" si="32"/>
        <v>628886</v>
      </c>
      <c r="G491" s="79">
        <f t="shared" si="33"/>
        <v>621531</v>
      </c>
      <c r="H491" s="80">
        <v>501486</v>
      </c>
      <c r="I491" s="81">
        <v>485008</v>
      </c>
      <c r="J491" s="80">
        <v>0</v>
      </c>
      <c r="K491" s="81">
        <v>0</v>
      </c>
      <c r="L491" s="80">
        <v>123559</v>
      </c>
      <c r="M491" s="80">
        <v>0</v>
      </c>
      <c r="N491" s="80">
        <v>3841</v>
      </c>
      <c r="O491" s="81">
        <v>128040</v>
      </c>
      <c r="P491" s="81">
        <v>0</v>
      </c>
      <c r="Q491" s="81">
        <v>8483</v>
      </c>
      <c r="R491" s="80"/>
      <c r="S491" s="81"/>
      <c r="T491" s="78">
        <f t="shared" si="36"/>
        <v>0</v>
      </c>
      <c r="U491" s="79">
        <f t="shared" si="35"/>
        <v>0</v>
      </c>
      <c r="V491" s="80">
        <v>0</v>
      </c>
      <c r="W491" s="81">
        <v>0</v>
      </c>
      <c r="X491" s="80">
        <v>0</v>
      </c>
      <c r="Y491" s="81">
        <v>0</v>
      </c>
      <c r="Z491" s="80">
        <v>0</v>
      </c>
      <c r="AA491" s="80">
        <v>0</v>
      </c>
      <c r="AB491" s="80">
        <v>0</v>
      </c>
      <c r="AC491" s="81">
        <v>0</v>
      </c>
      <c r="AD491" s="81">
        <v>0</v>
      </c>
      <c r="AE491" s="81">
        <v>0</v>
      </c>
      <c r="AF491" s="80"/>
      <c r="AG491" s="81"/>
    </row>
    <row r="492" spans="1:33" s="44" customFormat="1" ht="15" customHeight="1">
      <c r="A492" s="159" t="s">
        <v>577</v>
      </c>
      <c r="B492" s="99" t="s">
        <v>618</v>
      </c>
      <c r="C492" s="196"/>
      <c r="D492" s="101">
        <v>222576</v>
      </c>
      <c r="E492" s="101">
        <v>8</v>
      </c>
      <c r="F492" s="78">
        <f t="shared" si="32"/>
        <v>161997</v>
      </c>
      <c r="G492" s="79">
        <f t="shared" si="33"/>
        <v>158515</v>
      </c>
      <c r="H492" s="80">
        <v>85447</v>
      </c>
      <c r="I492" s="81">
        <v>83798</v>
      </c>
      <c r="J492" s="80">
        <v>13938</v>
      </c>
      <c r="K492" s="81">
        <v>7738</v>
      </c>
      <c r="L492" s="80">
        <v>62612</v>
      </c>
      <c r="M492" s="80">
        <v>0</v>
      </c>
      <c r="N492" s="80">
        <v>0</v>
      </c>
      <c r="O492" s="81">
        <v>66979</v>
      </c>
      <c r="P492" s="81">
        <v>0</v>
      </c>
      <c r="Q492" s="81">
        <v>0</v>
      </c>
      <c r="R492" s="80"/>
      <c r="S492" s="81"/>
      <c r="T492" s="78">
        <f t="shared" si="36"/>
        <v>0</v>
      </c>
      <c r="U492" s="79">
        <f t="shared" si="35"/>
        <v>0</v>
      </c>
      <c r="V492" s="80">
        <v>0</v>
      </c>
      <c r="W492" s="81">
        <v>0</v>
      </c>
      <c r="X492" s="80">
        <v>0</v>
      </c>
      <c r="Y492" s="81">
        <v>0</v>
      </c>
      <c r="Z492" s="80">
        <v>0</v>
      </c>
      <c r="AA492" s="80">
        <v>0</v>
      </c>
      <c r="AB492" s="80">
        <v>0</v>
      </c>
      <c r="AC492" s="81">
        <v>0</v>
      </c>
      <c r="AD492" s="81">
        <v>0</v>
      </c>
      <c r="AE492" s="81">
        <v>0</v>
      </c>
      <c r="AF492" s="80"/>
      <c r="AG492" s="81"/>
    </row>
    <row r="493" spans="1:33" s="44" customFormat="1" ht="15" customHeight="1">
      <c r="A493" s="159" t="s">
        <v>577</v>
      </c>
      <c r="B493" s="99" t="s">
        <v>619</v>
      </c>
      <c r="C493" s="196"/>
      <c r="D493" s="101">
        <v>222992</v>
      </c>
      <c r="E493" s="101">
        <v>8</v>
      </c>
      <c r="F493" s="78">
        <f t="shared" si="32"/>
        <v>722059</v>
      </c>
      <c r="G493" s="79">
        <f t="shared" si="33"/>
        <v>712916</v>
      </c>
      <c r="H493" s="80">
        <v>550706</v>
      </c>
      <c r="I493" s="81">
        <v>532488</v>
      </c>
      <c r="J493" s="80">
        <v>44990</v>
      </c>
      <c r="K493" s="81">
        <v>47618</v>
      </c>
      <c r="L493" s="80">
        <v>126363</v>
      </c>
      <c r="M493" s="80">
        <v>0</v>
      </c>
      <c r="N493" s="80">
        <v>0</v>
      </c>
      <c r="O493" s="81">
        <v>132810</v>
      </c>
      <c r="P493" s="81">
        <v>0</v>
      </c>
      <c r="Q493" s="81">
        <v>0</v>
      </c>
      <c r="R493" s="80"/>
      <c r="S493" s="81"/>
      <c r="T493" s="78">
        <f t="shared" si="36"/>
        <v>0</v>
      </c>
      <c r="U493" s="79">
        <f t="shared" si="35"/>
        <v>0</v>
      </c>
      <c r="V493" s="80">
        <v>0</v>
      </c>
      <c r="W493" s="81">
        <v>0</v>
      </c>
      <c r="X493" s="80">
        <v>0</v>
      </c>
      <c r="Y493" s="81">
        <v>0</v>
      </c>
      <c r="Z493" s="80">
        <v>0</v>
      </c>
      <c r="AA493" s="80">
        <v>0</v>
      </c>
      <c r="AB493" s="80">
        <v>0</v>
      </c>
      <c r="AC493" s="81">
        <v>0</v>
      </c>
      <c r="AD493" s="81">
        <v>0</v>
      </c>
      <c r="AE493" s="81">
        <v>0</v>
      </c>
      <c r="AF493" s="80"/>
      <c r="AG493" s="81"/>
    </row>
    <row r="494" spans="1:33" s="44" customFormat="1" ht="15" customHeight="1">
      <c r="A494" s="159" t="s">
        <v>577</v>
      </c>
      <c r="B494" s="99" t="s">
        <v>620</v>
      </c>
      <c r="C494" s="196"/>
      <c r="D494" s="101">
        <v>223427</v>
      </c>
      <c r="E494" s="101">
        <v>8</v>
      </c>
      <c r="F494" s="78">
        <f t="shared" si="32"/>
        <v>411099</v>
      </c>
      <c r="G494" s="79">
        <f t="shared" si="33"/>
        <v>405102</v>
      </c>
      <c r="H494" s="80">
        <v>52245</v>
      </c>
      <c r="I494" s="81">
        <v>51670</v>
      </c>
      <c r="J494" s="80">
        <v>263569</v>
      </c>
      <c r="K494" s="81">
        <v>253330</v>
      </c>
      <c r="L494" s="80">
        <v>94757</v>
      </c>
      <c r="M494" s="80">
        <v>528</v>
      </c>
      <c r="N494" s="80">
        <v>0</v>
      </c>
      <c r="O494" s="81">
        <v>100075</v>
      </c>
      <c r="P494" s="81">
        <v>27</v>
      </c>
      <c r="Q494" s="81">
        <v>0</v>
      </c>
      <c r="R494" s="80"/>
      <c r="S494" s="81"/>
      <c r="T494" s="78">
        <f t="shared" si="36"/>
        <v>0</v>
      </c>
      <c r="U494" s="79">
        <f t="shared" si="35"/>
        <v>0</v>
      </c>
      <c r="V494" s="80">
        <v>0</v>
      </c>
      <c r="W494" s="81">
        <v>0</v>
      </c>
      <c r="X494" s="80">
        <v>0</v>
      </c>
      <c r="Y494" s="81">
        <v>0</v>
      </c>
      <c r="Z494" s="80">
        <v>0</v>
      </c>
      <c r="AA494" s="80">
        <v>0</v>
      </c>
      <c r="AB494" s="80">
        <v>0</v>
      </c>
      <c r="AC494" s="81">
        <v>0</v>
      </c>
      <c r="AD494" s="81">
        <v>0</v>
      </c>
      <c r="AE494" s="81">
        <v>0</v>
      </c>
      <c r="AF494" s="80"/>
      <c r="AG494" s="81"/>
    </row>
    <row r="495" spans="1:33" s="44" customFormat="1" ht="15" customHeight="1">
      <c r="A495" s="159" t="s">
        <v>577</v>
      </c>
      <c r="B495" s="99" t="s">
        <v>621</v>
      </c>
      <c r="C495" s="196"/>
      <c r="D495" s="101">
        <v>223524</v>
      </c>
      <c r="E495" s="101">
        <v>8</v>
      </c>
      <c r="F495" s="78">
        <f t="shared" si="32"/>
        <v>186878</v>
      </c>
      <c r="G495" s="79">
        <f t="shared" si="33"/>
        <v>206790</v>
      </c>
      <c r="H495" s="80">
        <v>116937</v>
      </c>
      <c r="I495" s="81">
        <v>124335</v>
      </c>
      <c r="J495" s="80">
        <v>4646</v>
      </c>
      <c r="K495" s="81">
        <v>3720</v>
      </c>
      <c r="L495" s="80">
        <v>65295</v>
      </c>
      <c r="M495" s="80">
        <v>0</v>
      </c>
      <c r="N495" s="80">
        <v>0</v>
      </c>
      <c r="O495" s="81">
        <v>78735</v>
      </c>
      <c r="P495" s="81">
        <v>0</v>
      </c>
      <c r="Q495" s="81">
        <v>0</v>
      </c>
      <c r="R495" s="80"/>
      <c r="S495" s="81"/>
      <c r="T495" s="78">
        <f t="shared" si="36"/>
        <v>0</v>
      </c>
      <c r="U495" s="79">
        <f t="shared" si="35"/>
        <v>0</v>
      </c>
      <c r="V495" s="80">
        <v>0</v>
      </c>
      <c r="W495" s="81">
        <v>0</v>
      </c>
      <c r="X495" s="80">
        <v>0</v>
      </c>
      <c r="Y495" s="81">
        <v>0</v>
      </c>
      <c r="Z495" s="80">
        <v>0</v>
      </c>
      <c r="AA495" s="80">
        <v>0</v>
      </c>
      <c r="AB495" s="80">
        <v>0</v>
      </c>
      <c r="AC495" s="81">
        <v>0</v>
      </c>
      <c r="AD495" s="81">
        <v>0</v>
      </c>
      <c r="AE495" s="81">
        <v>0</v>
      </c>
      <c r="AF495" s="80"/>
      <c r="AG495" s="81"/>
    </row>
    <row r="496" spans="1:33" s="44" customFormat="1" ht="15" customHeight="1">
      <c r="A496" s="159" t="s">
        <v>577</v>
      </c>
      <c r="B496" s="99" t="s">
        <v>622</v>
      </c>
      <c r="C496" s="196"/>
      <c r="D496" s="101">
        <v>223816</v>
      </c>
      <c r="E496" s="101">
        <v>8</v>
      </c>
      <c r="F496" s="78">
        <f t="shared" si="32"/>
        <v>245705</v>
      </c>
      <c r="G496" s="79">
        <f t="shared" si="33"/>
        <v>232530</v>
      </c>
      <c r="H496" s="80">
        <v>78350</v>
      </c>
      <c r="I496" s="81">
        <v>76591</v>
      </c>
      <c r="J496" s="80">
        <v>34068</v>
      </c>
      <c r="K496" s="81">
        <v>29042</v>
      </c>
      <c r="L496" s="80">
        <v>121107</v>
      </c>
      <c r="M496" s="80">
        <v>156</v>
      </c>
      <c r="N496" s="80">
        <v>12024</v>
      </c>
      <c r="O496" s="81">
        <v>126716</v>
      </c>
      <c r="P496" s="81">
        <v>181</v>
      </c>
      <c r="Q496" s="81">
        <v>0</v>
      </c>
      <c r="R496" s="80"/>
      <c r="S496" s="81"/>
      <c r="T496" s="78">
        <f t="shared" si="36"/>
        <v>0</v>
      </c>
      <c r="U496" s="79">
        <f t="shared" si="35"/>
        <v>0</v>
      </c>
      <c r="V496" s="80">
        <v>0</v>
      </c>
      <c r="W496" s="81">
        <v>0</v>
      </c>
      <c r="X496" s="80">
        <v>0</v>
      </c>
      <c r="Y496" s="81">
        <v>0</v>
      </c>
      <c r="Z496" s="80">
        <v>0</v>
      </c>
      <c r="AA496" s="80">
        <v>0</v>
      </c>
      <c r="AB496" s="80">
        <v>0</v>
      </c>
      <c r="AC496" s="81">
        <v>0</v>
      </c>
      <c r="AD496" s="81">
        <v>0</v>
      </c>
      <c r="AE496" s="81">
        <v>0</v>
      </c>
      <c r="AF496" s="80"/>
      <c r="AG496" s="81"/>
    </row>
    <row r="497" spans="1:33" s="44" customFormat="1" ht="15" customHeight="1">
      <c r="A497" s="159" t="s">
        <v>577</v>
      </c>
      <c r="B497" s="99" t="s">
        <v>623</v>
      </c>
      <c r="C497" s="196"/>
      <c r="D497" s="101">
        <v>247834</v>
      </c>
      <c r="E497" s="101">
        <v>8</v>
      </c>
      <c r="F497" s="78">
        <f t="shared" si="32"/>
        <v>550668</v>
      </c>
      <c r="G497" s="79">
        <f t="shared" si="33"/>
        <v>574457</v>
      </c>
      <c r="H497" s="80">
        <v>424146</v>
      </c>
      <c r="I497" s="81">
        <v>430732</v>
      </c>
      <c r="J497" s="80">
        <v>28596</v>
      </c>
      <c r="K497" s="81">
        <v>38873</v>
      </c>
      <c r="L497" s="80">
        <v>97926</v>
      </c>
      <c r="M497" s="80">
        <v>0</v>
      </c>
      <c r="N497" s="80">
        <v>0</v>
      </c>
      <c r="O497" s="81">
        <v>104852</v>
      </c>
      <c r="P497" s="81">
        <v>0</v>
      </c>
      <c r="Q497" s="81">
        <v>0</v>
      </c>
      <c r="R497" s="80"/>
      <c r="S497" s="81"/>
      <c r="T497" s="78">
        <f t="shared" si="36"/>
        <v>0</v>
      </c>
      <c r="U497" s="79">
        <f t="shared" si="35"/>
        <v>0</v>
      </c>
      <c r="V497" s="80">
        <v>0</v>
      </c>
      <c r="W497" s="81">
        <v>0</v>
      </c>
      <c r="X497" s="80">
        <v>0</v>
      </c>
      <c r="Y497" s="81">
        <v>0</v>
      </c>
      <c r="Z497" s="80">
        <v>0</v>
      </c>
      <c r="AA497" s="80">
        <v>0</v>
      </c>
      <c r="AB497" s="80">
        <v>0</v>
      </c>
      <c r="AC497" s="81">
        <v>0</v>
      </c>
      <c r="AD497" s="81">
        <v>0</v>
      </c>
      <c r="AE497" s="81">
        <v>0</v>
      </c>
      <c r="AF497" s="80"/>
      <c r="AG497" s="81"/>
    </row>
    <row r="498" spans="1:33" s="44" customFormat="1" ht="15" customHeight="1">
      <c r="A498" s="159" t="s">
        <v>577</v>
      </c>
      <c r="B498" s="99" t="s">
        <v>624</v>
      </c>
      <c r="C498" s="196"/>
      <c r="D498" s="101">
        <v>224350</v>
      </c>
      <c r="E498" s="101">
        <v>8</v>
      </c>
      <c r="F498" s="78">
        <f t="shared" si="32"/>
        <v>208691</v>
      </c>
      <c r="G498" s="79">
        <f t="shared" si="33"/>
        <v>210900</v>
      </c>
      <c r="H498" s="80">
        <v>183582</v>
      </c>
      <c r="I498" s="81">
        <v>174983</v>
      </c>
      <c r="J498" s="80">
        <v>4958</v>
      </c>
      <c r="K498" s="81">
        <v>3702</v>
      </c>
      <c r="L498" s="80">
        <v>20151</v>
      </c>
      <c r="M498" s="80">
        <v>0</v>
      </c>
      <c r="N498" s="80">
        <v>0</v>
      </c>
      <c r="O498" s="81">
        <v>32080</v>
      </c>
      <c r="P498" s="81">
        <v>135</v>
      </c>
      <c r="Q498" s="81">
        <v>0</v>
      </c>
      <c r="R498" s="80"/>
      <c r="S498" s="81"/>
      <c r="T498" s="78">
        <f t="shared" si="36"/>
        <v>0</v>
      </c>
      <c r="U498" s="79">
        <f t="shared" si="35"/>
        <v>0</v>
      </c>
      <c r="V498" s="80">
        <v>0</v>
      </c>
      <c r="W498" s="81">
        <v>0</v>
      </c>
      <c r="X498" s="80">
        <v>0</v>
      </c>
      <c r="Y498" s="81">
        <v>0</v>
      </c>
      <c r="Z498" s="80">
        <v>0</v>
      </c>
      <c r="AA498" s="80">
        <v>0</v>
      </c>
      <c r="AB498" s="80">
        <v>0</v>
      </c>
      <c r="AC498" s="81">
        <v>0</v>
      </c>
      <c r="AD498" s="81">
        <v>0</v>
      </c>
      <c r="AE498" s="81">
        <v>0</v>
      </c>
      <c r="AF498" s="80"/>
      <c r="AG498" s="81"/>
    </row>
    <row r="499" spans="1:33" s="44" customFormat="1" ht="15" customHeight="1">
      <c r="A499" s="159" t="s">
        <v>577</v>
      </c>
      <c r="B499" s="99" t="s">
        <v>625</v>
      </c>
      <c r="C499" s="196"/>
      <c r="D499" s="101">
        <v>224572</v>
      </c>
      <c r="E499" s="101">
        <v>8</v>
      </c>
      <c r="F499" s="78">
        <f t="shared" si="32"/>
        <v>234873</v>
      </c>
      <c r="G499" s="79">
        <f t="shared" si="33"/>
        <v>227532</v>
      </c>
      <c r="H499" s="80">
        <v>142837</v>
      </c>
      <c r="I499" s="81">
        <v>117462</v>
      </c>
      <c r="J499" s="80">
        <v>1302</v>
      </c>
      <c r="K499" s="81">
        <v>13912</v>
      </c>
      <c r="L499" s="80">
        <v>90553</v>
      </c>
      <c r="M499" s="80">
        <v>0</v>
      </c>
      <c r="N499" s="80">
        <v>181</v>
      </c>
      <c r="O499" s="81">
        <v>96158</v>
      </c>
      <c r="P499" s="81">
        <v>0</v>
      </c>
      <c r="Q499" s="81">
        <v>0</v>
      </c>
      <c r="R499" s="80"/>
      <c r="S499" s="81"/>
      <c r="T499" s="78">
        <f t="shared" si="36"/>
        <v>0</v>
      </c>
      <c r="U499" s="79">
        <f t="shared" si="35"/>
        <v>0</v>
      </c>
      <c r="V499" s="80">
        <v>0</v>
      </c>
      <c r="W499" s="81">
        <v>0</v>
      </c>
      <c r="X499" s="80">
        <v>0</v>
      </c>
      <c r="Y499" s="81">
        <v>0</v>
      </c>
      <c r="Z499" s="80">
        <v>0</v>
      </c>
      <c r="AA499" s="80">
        <v>0</v>
      </c>
      <c r="AB499" s="80">
        <v>0</v>
      </c>
      <c r="AC499" s="81">
        <v>0</v>
      </c>
      <c r="AD499" s="81">
        <v>0</v>
      </c>
      <c r="AE499" s="81">
        <v>0</v>
      </c>
      <c r="AF499" s="80"/>
      <c r="AG499" s="81"/>
    </row>
    <row r="500" spans="1:33" s="44" customFormat="1" ht="15" customHeight="1">
      <c r="A500" s="159" t="s">
        <v>577</v>
      </c>
      <c r="B500" s="199" t="s">
        <v>626</v>
      </c>
      <c r="C500" s="196"/>
      <c r="D500" s="101">
        <v>224615</v>
      </c>
      <c r="E500" s="101">
        <v>8</v>
      </c>
      <c r="F500" s="78">
        <f t="shared" ref="F500:F563" si="37">SUM(H500,J500,L500,M500,N500,R500)</f>
        <v>152355</v>
      </c>
      <c r="G500" s="79">
        <f t="shared" ref="G500:G563" si="38">SUM(I500,K500,O500,P500,Q500,S500)</f>
        <v>152980</v>
      </c>
      <c r="H500" s="80">
        <v>98265</v>
      </c>
      <c r="I500" s="81">
        <v>93889</v>
      </c>
      <c r="J500" s="80">
        <v>8149</v>
      </c>
      <c r="K500" s="81">
        <v>9296</v>
      </c>
      <c r="L500" s="80">
        <v>45941</v>
      </c>
      <c r="M500" s="80">
        <v>0</v>
      </c>
      <c r="N500" s="80">
        <v>0</v>
      </c>
      <c r="O500" s="81">
        <v>49795</v>
      </c>
      <c r="P500" s="81">
        <v>0</v>
      </c>
      <c r="Q500" s="81">
        <v>0</v>
      </c>
      <c r="R500" s="80"/>
      <c r="S500" s="81"/>
      <c r="T500" s="78">
        <f t="shared" si="36"/>
        <v>0</v>
      </c>
      <c r="U500" s="79">
        <f t="shared" ref="U500:U563" si="39">SUM(W500,Y500,AC500,AD500,AE500,AG500)</f>
        <v>0</v>
      </c>
      <c r="V500" s="80">
        <v>0</v>
      </c>
      <c r="W500" s="81">
        <v>0</v>
      </c>
      <c r="X500" s="80">
        <v>0</v>
      </c>
      <c r="Y500" s="81">
        <v>0</v>
      </c>
      <c r="Z500" s="80">
        <v>0</v>
      </c>
      <c r="AA500" s="80">
        <v>0</v>
      </c>
      <c r="AB500" s="80">
        <v>0</v>
      </c>
      <c r="AC500" s="81">
        <v>0</v>
      </c>
      <c r="AD500" s="81">
        <v>0</v>
      </c>
      <c r="AE500" s="81">
        <v>0</v>
      </c>
      <c r="AF500" s="80"/>
      <c r="AG500" s="81"/>
    </row>
    <row r="501" spans="1:33" s="44" customFormat="1" ht="15" customHeight="1">
      <c r="A501" s="159" t="s">
        <v>577</v>
      </c>
      <c r="B501" s="99" t="s">
        <v>627</v>
      </c>
      <c r="C501" s="196"/>
      <c r="D501" s="101">
        <v>224642</v>
      </c>
      <c r="E501" s="101">
        <v>8</v>
      </c>
      <c r="F501" s="78">
        <f t="shared" si="37"/>
        <v>523240</v>
      </c>
      <c r="G501" s="79">
        <f t="shared" si="38"/>
        <v>505868</v>
      </c>
      <c r="H501" s="80">
        <v>390784</v>
      </c>
      <c r="I501" s="81">
        <v>368266</v>
      </c>
      <c r="J501" s="80">
        <v>55742</v>
      </c>
      <c r="K501" s="81">
        <v>55343</v>
      </c>
      <c r="L501" s="80">
        <v>76714</v>
      </c>
      <c r="M501" s="80">
        <v>0</v>
      </c>
      <c r="N501" s="80">
        <v>0</v>
      </c>
      <c r="O501" s="81">
        <v>82259</v>
      </c>
      <c r="P501" s="81">
        <v>0</v>
      </c>
      <c r="Q501" s="81">
        <v>0</v>
      </c>
      <c r="R501" s="80"/>
      <c r="S501" s="81"/>
      <c r="T501" s="78">
        <f t="shared" si="36"/>
        <v>0</v>
      </c>
      <c r="U501" s="79">
        <f t="shared" si="39"/>
        <v>0</v>
      </c>
      <c r="V501" s="80">
        <v>0</v>
      </c>
      <c r="W501" s="81">
        <v>0</v>
      </c>
      <c r="X501" s="80">
        <v>0</v>
      </c>
      <c r="Y501" s="81">
        <v>0</v>
      </c>
      <c r="Z501" s="80">
        <v>0</v>
      </c>
      <c r="AA501" s="80">
        <v>0</v>
      </c>
      <c r="AB501" s="80">
        <v>0</v>
      </c>
      <c r="AC501" s="81">
        <v>0</v>
      </c>
      <c r="AD501" s="81">
        <v>0</v>
      </c>
      <c r="AE501" s="81">
        <v>0</v>
      </c>
      <c r="AF501" s="80"/>
      <c r="AG501" s="81"/>
    </row>
    <row r="502" spans="1:33" s="44" customFormat="1" ht="15" customHeight="1">
      <c r="A502" s="98" t="s">
        <v>577</v>
      </c>
      <c r="B502" s="99" t="s">
        <v>628</v>
      </c>
      <c r="C502" s="196"/>
      <c r="D502" s="101">
        <v>225423</v>
      </c>
      <c r="E502" s="101">
        <v>8</v>
      </c>
      <c r="F502" s="78">
        <f t="shared" si="37"/>
        <v>1079180</v>
      </c>
      <c r="G502" s="79">
        <f t="shared" si="38"/>
        <v>1086042</v>
      </c>
      <c r="H502" s="80">
        <v>533537</v>
      </c>
      <c r="I502" s="81">
        <v>539983</v>
      </c>
      <c r="J502" s="80">
        <v>189212</v>
      </c>
      <c r="K502" s="81">
        <v>194671</v>
      </c>
      <c r="L502" s="80">
        <v>356405</v>
      </c>
      <c r="M502" s="80">
        <v>0</v>
      </c>
      <c r="N502" s="80">
        <v>26</v>
      </c>
      <c r="O502" s="81">
        <v>351388</v>
      </c>
      <c r="P502" s="81">
        <v>0</v>
      </c>
      <c r="Q502" s="81">
        <v>0</v>
      </c>
      <c r="R502" s="80"/>
      <c r="S502" s="81"/>
      <c r="T502" s="78">
        <f t="shared" si="36"/>
        <v>0</v>
      </c>
      <c r="U502" s="79">
        <f t="shared" si="39"/>
        <v>0</v>
      </c>
      <c r="V502" s="80">
        <v>0</v>
      </c>
      <c r="W502" s="81">
        <v>0</v>
      </c>
      <c r="X502" s="80">
        <v>0</v>
      </c>
      <c r="Y502" s="81">
        <v>0</v>
      </c>
      <c r="Z502" s="80">
        <v>0</v>
      </c>
      <c r="AA502" s="80">
        <v>0</v>
      </c>
      <c r="AB502" s="80">
        <v>0</v>
      </c>
      <c r="AC502" s="81">
        <v>0</v>
      </c>
      <c r="AD502" s="81">
        <v>0</v>
      </c>
      <c r="AE502" s="81">
        <v>0</v>
      </c>
      <c r="AF502" s="80"/>
      <c r="AG502" s="81"/>
    </row>
    <row r="503" spans="1:33" s="44" customFormat="1" ht="15" customHeight="1">
      <c r="A503" s="98" t="s">
        <v>577</v>
      </c>
      <c r="B503" s="99" t="s">
        <v>629</v>
      </c>
      <c r="C503" s="196"/>
      <c r="D503" s="101">
        <v>226134</v>
      </c>
      <c r="E503" s="101">
        <v>8</v>
      </c>
      <c r="F503" s="78">
        <f t="shared" si="37"/>
        <v>153689</v>
      </c>
      <c r="G503" s="79">
        <f t="shared" si="38"/>
        <v>159541</v>
      </c>
      <c r="H503" s="80">
        <v>120331</v>
      </c>
      <c r="I503" s="81">
        <v>117828</v>
      </c>
      <c r="J503" s="80">
        <v>11152</v>
      </c>
      <c r="K503" s="81">
        <v>16242</v>
      </c>
      <c r="L503" s="80">
        <v>21321</v>
      </c>
      <c r="M503" s="80">
        <v>885</v>
      </c>
      <c r="N503" s="80">
        <v>0</v>
      </c>
      <c r="O503" s="81">
        <v>24637</v>
      </c>
      <c r="P503" s="81">
        <v>834</v>
      </c>
      <c r="Q503" s="81">
        <v>0</v>
      </c>
      <c r="R503" s="80"/>
      <c r="S503" s="81"/>
      <c r="T503" s="78">
        <f t="shared" si="36"/>
        <v>0</v>
      </c>
      <c r="U503" s="79">
        <f t="shared" si="39"/>
        <v>0</v>
      </c>
      <c r="V503" s="80">
        <v>0</v>
      </c>
      <c r="W503" s="81">
        <v>0</v>
      </c>
      <c r="X503" s="80">
        <v>0</v>
      </c>
      <c r="Y503" s="81">
        <v>0</v>
      </c>
      <c r="Z503" s="80">
        <v>0</v>
      </c>
      <c r="AA503" s="80">
        <v>0</v>
      </c>
      <c r="AB503" s="80">
        <v>0</v>
      </c>
      <c r="AC503" s="81">
        <v>0</v>
      </c>
      <c r="AD503" s="81">
        <v>0</v>
      </c>
      <c r="AE503" s="81">
        <v>0</v>
      </c>
      <c r="AF503" s="80"/>
      <c r="AG503" s="81"/>
    </row>
    <row r="504" spans="1:33" s="44" customFormat="1" ht="15" customHeight="1">
      <c r="A504" s="98" t="s">
        <v>577</v>
      </c>
      <c r="B504" s="99" t="s">
        <v>630</v>
      </c>
      <c r="C504" s="196"/>
      <c r="D504" s="101">
        <v>227182</v>
      </c>
      <c r="E504" s="101">
        <v>8</v>
      </c>
      <c r="F504" s="78">
        <f t="shared" si="37"/>
        <v>1316520</v>
      </c>
      <c r="G504" s="79">
        <f t="shared" si="38"/>
        <v>1270869</v>
      </c>
      <c r="H504" s="80">
        <v>853609</v>
      </c>
      <c r="I504" s="81">
        <v>781324</v>
      </c>
      <c r="J504" s="80">
        <v>98701</v>
      </c>
      <c r="K504" s="81">
        <v>101107</v>
      </c>
      <c r="L504" s="80">
        <v>364039</v>
      </c>
      <c r="M504" s="80">
        <v>108</v>
      </c>
      <c r="N504" s="80">
        <v>63</v>
      </c>
      <c r="O504" s="81">
        <v>388318</v>
      </c>
      <c r="P504" s="81">
        <v>120</v>
      </c>
      <c r="Q504" s="81">
        <v>0</v>
      </c>
      <c r="R504" s="80"/>
      <c r="S504" s="81"/>
      <c r="T504" s="78">
        <f t="shared" si="36"/>
        <v>0</v>
      </c>
      <c r="U504" s="79">
        <f t="shared" si="39"/>
        <v>0</v>
      </c>
      <c r="V504" s="80">
        <v>0</v>
      </c>
      <c r="W504" s="81">
        <v>0</v>
      </c>
      <c r="X504" s="80">
        <v>0</v>
      </c>
      <c r="Y504" s="81">
        <v>0</v>
      </c>
      <c r="Z504" s="80">
        <v>0</v>
      </c>
      <c r="AA504" s="80">
        <v>0</v>
      </c>
      <c r="AB504" s="80">
        <v>0</v>
      </c>
      <c r="AC504" s="81">
        <v>0</v>
      </c>
      <c r="AD504" s="81">
        <v>0</v>
      </c>
      <c r="AE504" s="81">
        <v>0</v>
      </c>
      <c r="AF504" s="80"/>
      <c r="AG504" s="81"/>
    </row>
    <row r="505" spans="1:33" s="44" customFormat="1" ht="15" customHeight="1">
      <c r="A505" s="98" t="s">
        <v>577</v>
      </c>
      <c r="B505" s="99" t="s">
        <v>631</v>
      </c>
      <c r="C505" s="196"/>
      <c r="D505" s="101">
        <v>226578</v>
      </c>
      <c r="E505" s="101">
        <v>8</v>
      </c>
      <c r="F505" s="78">
        <f t="shared" si="37"/>
        <v>181329</v>
      </c>
      <c r="G505" s="79">
        <f t="shared" si="38"/>
        <v>182697</v>
      </c>
      <c r="H505" s="80">
        <v>121540</v>
      </c>
      <c r="I505" s="81">
        <v>118649</v>
      </c>
      <c r="J505" s="80">
        <v>532</v>
      </c>
      <c r="K505" s="81">
        <v>393</v>
      </c>
      <c r="L505" s="80">
        <v>58985</v>
      </c>
      <c r="M505" s="80">
        <v>272</v>
      </c>
      <c r="N505" s="80">
        <v>0</v>
      </c>
      <c r="O505" s="81">
        <v>63505</v>
      </c>
      <c r="P505" s="81">
        <v>150</v>
      </c>
      <c r="Q505" s="81">
        <v>0</v>
      </c>
      <c r="R505" s="80"/>
      <c r="S505" s="81"/>
      <c r="T505" s="78">
        <f t="shared" si="36"/>
        <v>0</v>
      </c>
      <c r="U505" s="79">
        <f t="shared" si="39"/>
        <v>0</v>
      </c>
      <c r="V505" s="80">
        <v>0</v>
      </c>
      <c r="W505" s="81">
        <v>0</v>
      </c>
      <c r="X505" s="80">
        <v>0</v>
      </c>
      <c r="Y505" s="81">
        <v>0</v>
      </c>
      <c r="Z505" s="80">
        <v>0</v>
      </c>
      <c r="AA505" s="80">
        <v>0</v>
      </c>
      <c r="AB505" s="80">
        <v>0</v>
      </c>
      <c r="AC505" s="81">
        <v>0</v>
      </c>
      <c r="AD505" s="81">
        <v>0</v>
      </c>
      <c r="AE505" s="81">
        <v>0</v>
      </c>
      <c r="AF505" s="80"/>
      <c r="AG505" s="81"/>
    </row>
    <row r="506" spans="1:33" s="44" customFormat="1" ht="15" customHeight="1">
      <c r="A506" s="98" t="s">
        <v>577</v>
      </c>
      <c r="B506" s="99" t="s">
        <v>632</v>
      </c>
      <c r="C506" s="196"/>
      <c r="D506" s="101">
        <v>227146</v>
      </c>
      <c r="E506" s="200">
        <v>8</v>
      </c>
      <c r="F506" s="78">
        <f t="shared" si="37"/>
        <v>186963</v>
      </c>
      <c r="G506" s="79">
        <f t="shared" si="38"/>
        <v>178998</v>
      </c>
      <c r="H506" s="80">
        <v>55639</v>
      </c>
      <c r="I506" s="81">
        <v>51629</v>
      </c>
      <c r="J506" s="80">
        <v>79494</v>
      </c>
      <c r="K506" s="81">
        <v>77331</v>
      </c>
      <c r="L506" s="80">
        <v>51724</v>
      </c>
      <c r="M506" s="80">
        <v>0</v>
      </c>
      <c r="N506" s="80">
        <v>106</v>
      </c>
      <c r="O506" s="81">
        <v>49862</v>
      </c>
      <c r="P506" s="81">
        <v>0</v>
      </c>
      <c r="Q506" s="81">
        <v>176</v>
      </c>
      <c r="R506" s="80"/>
      <c r="S506" s="81"/>
      <c r="T506" s="78">
        <f t="shared" si="36"/>
        <v>0</v>
      </c>
      <c r="U506" s="79">
        <f t="shared" si="39"/>
        <v>0</v>
      </c>
      <c r="V506" s="80">
        <v>0</v>
      </c>
      <c r="W506" s="81">
        <v>0</v>
      </c>
      <c r="X506" s="80">
        <v>0</v>
      </c>
      <c r="Y506" s="81">
        <v>0</v>
      </c>
      <c r="Z506" s="80">
        <v>0</v>
      </c>
      <c r="AA506" s="80">
        <v>0</v>
      </c>
      <c r="AB506" s="80">
        <v>0</v>
      </c>
      <c r="AC506" s="81">
        <v>0</v>
      </c>
      <c r="AD506" s="81">
        <v>0</v>
      </c>
      <c r="AE506" s="81">
        <v>0</v>
      </c>
      <c r="AF506" s="80"/>
      <c r="AG506" s="81"/>
    </row>
    <row r="507" spans="1:33" s="44" customFormat="1" ht="15" customHeight="1">
      <c r="A507" s="98" t="s">
        <v>577</v>
      </c>
      <c r="B507" s="199" t="s">
        <v>633</v>
      </c>
      <c r="C507" s="196"/>
      <c r="D507" s="101">
        <v>224110</v>
      </c>
      <c r="E507" s="101">
        <v>8</v>
      </c>
      <c r="F507" s="78">
        <f t="shared" si="37"/>
        <v>172233</v>
      </c>
      <c r="G507" s="79">
        <f t="shared" si="38"/>
        <v>177665</v>
      </c>
      <c r="H507" s="80">
        <v>24052</v>
      </c>
      <c r="I507" s="81">
        <v>23418</v>
      </c>
      <c r="J507" s="80">
        <v>98352</v>
      </c>
      <c r="K507" s="81">
        <v>96294</v>
      </c>
      <c r="L507" s="80">
        <v>49220</v>
      </c>
      <c r="M507" s="80">
        <v>448</v>
      </c>
      <c r="N507" s="80">
        <v>161</v>
      </c>
      <c r="O507" s="81">
        <v>57344</v>
      </c>
      <c r="P507" s="81">
        <v>531</v>
      </c>
      <c r="Q507" s="81">
        <v>78</v>
      </c>
      <c r="R507" s="80"/>
      <c r="S507" s="81"/>
      <c r="T507" s="78">
        <f t="shared" si="36"/>
        <v>0</v>
      </c>
      <c r="U507" s="79">
        <f t="shared" si="39"/>
        <v>0</v>
      </c>
      <c r="V507" s="80">
        <v>0</v>
      </c>
      <c r="W507" s="81">
        <v>0</v>
      </c>
      <c r="X507" s="80">
        <v>0</v>
      </c>
      <c r="Y507" s="81">
        <v>0</v>
      </c>
      <c r="Z507" s="80">
        <v>0</v>
      </c>
      <c r="AA507" s="80">
        <v>0</v>
      </c>
      <c r="AB507" s="80">
        <v>0</v>
      </c>
      <c r="AC507" s="81">
        <v>0</v>
      </c>
      <c r="AD507" s="81">
        <v>0</v>
      </c>
      <c r="AE507" s="81">
        <v>0</v>
      </c>
      <c r="AF507" s="80"/>
      <c r="AG507" s="81"/>
    </row>
    <row r="508" spans="1:33" s="44" customFormat="1" ht="15" customHeight="1">
      <c r="A508" s="98" t="s">
        <v>577</v>
      </c>
      <c r="B508" s="99" t="s">
        <v>634</v>
      </c>
      <c r="C508" s="196"/>
      <c r="D508" s="101">
        <v>227191</v>
      </c>
      <c r="E508" s="101">
        <v>8</v>
      </c>
      <c r="F508" s="78">
        <f t="shared" si="37"/>
        <v>166239</v>
      </c>
      <c r="G508" s="79">
        <f t="shared" si="38"/>
        <v>184285</v>
      </c>
      <c r="H508" s="80">
        <v>112001</v>
      </c>
      <c r="I508" s="81">
        <v>114213</v>
      </c>
      <c r="J508" s="80">
        <v>1308</v>
      </c>
      <c r="K508" s="81">
        <v>4247</v>
      </c>
      <c r="L508" s="80">
        <v>52930</v>
      </c>
      <c r="M508" s="80">
        <v>0</v>
      </c>
      <c r="N508" s="80">
        <v>0</v>
      </c>
      <c r="O508" s="81">
        <v>65825</v>
      </c>
      <c r="P508" s="81">
        <v>0</v>
      </c>
      <c r="Q508" s="81">
        <v>0</v>
      </c>
      <c r="R508" s="80"/>
      <c r="S508" s="81"/>
      <c r="T508" s="78">
        <f t="shared" si="36"/>
        <v>0</v>
      </c>
      <c r="U508" s="79">
        <f t="shared" si="39"/>
        <v>0</v>
      </c>
      <c r="V508" s="80">
        <v>0</v>
      </c>
      <c r="W508" s="81">
        <v>0</v>
      </c>
      <c r="X508" s="80">
        <v>0</v>
      </c>
      <c r="Y508" s="81">
        <v>0</v>
      </c>
      <c r="Z508" s="80">
        <v>0</v>
      </c>
      <c r="AA508" s="80">
        <v>0</v>
      </c>
      <c r="AB508" s="80">
        <v>0</v>
      </c>
      <c r="AC508" s="81">
        <v>0</v>
      </c>
      <c r="AD508" s="81">
        <v>0</v>
      </c>
      <c r="AE508" s="81">
        <v>0</v>
      </c>
      <c r="AF508" s="80"/>
      <c r="AG508" s="81"/>
    </row>
    <row r="509" spans="1:33" s="44" customFormat="1" ht="15" customHeight="1">
      <c r="A509" s="98" t="s">
        <v>577</v>
      </c>
      <c r="B509" s="99" t="s">
        <v>635</v>
      </c>
      <c r="C509" s="196"/>
      <c r="D509" s="101">
        <v>420398</v>
      </c>
      <c r="E509" s="101">
        <v>8</v>
      </c>
      <c r="F509" s="78">
        <f t="shared" si="37"/>
        <v>295384</v>
      </c>
      <c r="G509" s="79">
        <f t="shared" si="38"/>
        <v>295407</v>
      </c>
      <c r="H509" s="80">
        <v>210864</v>
      </c>
      <c r="I509" s="81">
        <v>202023</v>
      </c>
      <c r="J509" s="80">
        <v>30309</v>
      </c>
      <c r="K509" s="81">
        <v>34072</v>
      </c>
      <c r="L509" s="80">
        <v>54211</v>
      </c>
      <c r="M509" s="80">
        <v>0</v>
      </c>
      <c r="N509" s="80">
        <v>0</v>
      </c>
      <c r="O509" s="81">
        <v>59312</v>
      </c>
      <c r="P509" s="81">
        <v>0</v>
      </c>
      <c r="Q509" s="81">
        <v>0</v>
      </c>
      <c r="R509" s="80"/>
      <c r="S509" s="81"/>
      <c r="T509" s="78">
        <f t="shared" si="36"/>
        <v>0</v>
      </c>
      <c r="U509" s="79">
        <f t="shared" si="39"/>
        <v>0</v>
      </c>
      <c r="V509" s="80">
        <v>0</v>
      </c>
      <c r="W509" s="81">
        <v>0</v>
      </c>
      <c r="X509" s="80">
        <v>0</v>
      </c>
      <c r="Y509" s="81">
        <v>0</v>
      </c>
      <c r="Z509" s="80">
        <v>0</v>
      </c>
      <c r="AA509" s="80">
        <v>0</v>
      </c>
      <c r="AB509" s="80">
        <v>0</v>
      </c>
      <c r="AC509" s="81">
        <v>0</v>
      </c>
      <c r="AD509" s="81">
        <v>0</v>
      </c>
      <c r="AE509" s="81">
        <v>0</v>
      </c>
      <c r="AF509" s="80"/>
      <c r="AG509" s="81"/>
    </row>
    <row r="510" spans="1:33" s="44" customFormat="1" ht="15" customHeight="1">
      <c r="A510" s="98" t="s">
        <v>577</v>
      </c>
      <c r="B510" s="99" t="s">
        <v>636</v>
      </c>
      <c r="C510" s="196"/>
      <c r="D510" s="101">
        <v>246354</v>
      </c>
      <c r="E510" s="101">
        <v>8</v>
      </c>
      <c r="F510" s="78">
        <f t="shared" si="37"/>
        <v>157928</v>
      </c>
      <c r="G510" s="79">
        <f t="shared" si="38"/>
        <v>162612</v>
      </c>
      <c r="H510" s="80">
        <v>97489</v>
      </c>
      <c r="I510" s="81">
        <v>101363</v>
      </c>
      <c r="J510" s="80">
        <v>3879</v>
      </c>
      <c r="K510" s="81">
        <v>3282</v>
      </c>
      <c r="L510" s="80">
        <v>56560</v>
      </c>
      <c r="M510" s="80">
        <v>0</v>
      </c>
      <c r="N510" s="80">
        <v>0</v>
      </c>
      <c r="O510" s="81">
        <v>57967</v>
      </c>
      <c r="P510" s="81">
        <v>0</v>
      </c>
      <c r="Q510" s="81">
        <v>0</v>
      </c>
      <c r="R510" s="80"/>
      <c r="S510" s="81"/>
      <c r="T510" s="78">
        <f t="shared" si="36"/>
        <v>0</v>
      </c>
      <c r="U510" s="79">
        <f t="shared" si="39"/>
        <v>0</v>
      </c>
      <c r="V510" s="80">
        <v>0</v>
      </c>
      <c r="W510" s="81">
        <v>0</v>
      </c>
      <c r="X510" s="80">
        <v>0</v>
      </c>
      <c r="Y510" s="81">
        <v>0</v>
      </c>
      <c r="Z510" s="80">
        <v>0</v>
      </c>
      <c r="AA510" s="80">
        <v>0</v>
      </c>
      <c r="AB510" s="80">
        <v>0</v>
      </c>
      <c r="AC510" s="81">
        <v>0</v>
      </c>
      <c r="AD510" s="81">
        <v>0</v>
      </c>
      <c r="AE510" s="81">
        <v>0</v>
      </c>
      <c r="AF510" s="80"/>
      <c r="AG510" s="81"/>
    </row>
    <row r="511" spans="1:33" s="44" customFormat="1" ht="15" customHeight="1">
      <c r="A511" s="98" t="s">
        <v>577</v>
      </c>
      <c r="B511" s="99" t="s">
        <v>637</v>
      </c>
      <c r="C511" s="196"/>
      <c r="D511" s="101">
        <v>227766</v>
      </c>
      <c r="E511" s="101">
        <v>8</v>
      </c>
      <c r="F511" s="78">
        <f t="shared" si="37"/>
        <v>322308</v>
      </c>
      <c r="G511" s="79">
        <f t="shared" si="38"/>
        <v>319773</v>
      </c>
      <c r="H511" s="80">
        <v>211060</v>
      </c>
      <c r="I511" s="81">
        <v>198576</v>
      </c>
      <c r="J511" s="80">
        <v>3458</v>
      </c>
      <c r="K511" s="81">
        <v>5580</v>
      </c>
      <c r="L511" s="80">
        <v>107790</v>
      </c>
      <c r="M511" s="80">
        <v>0</v>
      </c>
      <c r="N511" s="80">
        <v>0</v>
      </c>
      <c r="O511" s="81">
        <v>115617</v>
      </c>
      <c r="P511" s="81">
        <v>0</v>
      </c>
      <c r="Q511" s="81">
        <v>0</v>
      </c>
      <c r="R511" s="80"/>
      <c r="S511" s="81"/>
      <c r="T511" s="78">
        <f t="shared" si="36"/>
        <v>0</v>
      </c>
      <c r="U511" s="79">
        <f t="shared" si="39"/>
        <v>0</v>
      </c>
      <c r="V511" s="80">
        <v>0</v>
      </c>
      <c r="W511" s="81">
        <v>0</v>
      </c>
      <c r="X511" s="80">
        <v>0</v>
      </c>
      <c r="Y511" s="81">
        <v>0</v>
      </c>
      <c r="Z511" s="80">
        <v>0</v>
      </c>
      <c r="AA511" s="80">
        <v>0</v>
      </c>
      <c r="AB511" s="80">
        <v>0</v>
      </c>
      <c r="AC511" s="81">
        <v>0</v>
      </c>
      <c r="AD511" s="81">
        <v>0</v>
      </c>
      <c r="AE511" s="81">
        <v>0</v>
      </c>
      <c r="AF511" s="80"/>
      <c r="AG511" s="81"/>
    </row>
    <row r="512" spans="1:33" s="44" customFormat="1" ht="15" customHeight="1">
      <c r="A512" s="98" t="s">
        <v>577</v>
      </c>
      <c r="B512" s="99" t="s">
        <v>638</v>
      </c>
      <c r="C512" s="196"/>
      <c r="D512" s="101">
        <v>227924</v>
      </c>
      <c r="E512" s="101">
        <v>8</v>
      </c>
      <c r="F512" s="78">
        <f t="shared" si="37"/>
        <v>348056</v>
      </c>
      <c r="G512" s="79">
        <f t="shared" si="38"/>
        <v>344161</v>
      </c>
      <c r="H512" s="80">
        <v>235185</v>
      </c>
      <c r="I512" s="81">
        <v>225067</v>
      </c>
      <c r="J512" s="80">
        <v>14341</v>
      </c>
      <c r="K512" s="81">
        <v>14989</v>
      </c>
      <c r="L512" s="80">
        <v>98530</v>
      </c>
      <c r="M512" s="80">
        <v>0</v>
      </c>
      <c r="N512" s="80">
        <v>0</v>
      </c>
      <c r="O512" s="81">
        <v>104105</v>
      </c>
      <c r="P512" s="81">
        <v>0</v>
      </c>
      <c r="Q512" s="81">
        <v>0</v>
      </c>
      <c r="R512" s="80"/>
      <c r="S512" s="81"/>
      <c r="T512" s="78">
        <f t="shared" si="36"/>
        <v>0</v>
      </c>
      <c r="U512" s="79">
        <f t="shared" si="39"/>
        <v>0</v>
      </c>
      <c r="V512" s="80">
        <v>0</v>
      </c>
      <c r="W512" s="81">
        <v>0</v>
      </c>
      <c r="X512" s="80">
        <v>0</v>
      </c>
      <c r="Y512" s="81">
        <v>0</v>
      </c>
      <c r="Z512" s="80">
        <v>0</v>
      </c>
      <c r="AA512" s="80">
        <v>0</v>
      </c>
      <c r="AB512" s="80">
        <v>0</v>
      </c>
      <c r="AC512" s="81">
        <v>0</v>
      </c>
      <c r="AD512" s="81">
        <v>0</v>
      </c>
      <c r="AE512" s="81">
        <v>0</v>
      </c>
      <c r="AF512" s="80"/>
      <c r="AG512" s="81"/>
    </row>
    <row r="513" spans="1:33" s="44" customFormat="1" ht="15" customHeight="1">
      <c r="A513" s="98" t="s">
        <v>577</v>
      </c>
      <c r="B513" s="99" t="s">
        <v>639</v>
      </c>
      <c r="C513" s="196"/>
      <c r="D513" s="101">
        <v>227979</v>
      </c>
      <c r="E513" s="101">
        <v>8</v>
      </c>
      <c r="F513" s="78">
        <f t="shared" si="37"/>
        <v>581128</v>
      </c>
      <c r="G513" s="79">
        <f t="shared" si="38"/>
        <v>602358</v>
      </c>
      <c r="H513" s="80">
        <v>474313</v>
      </c>
      <c r="I513" s="81">
        <v>466687</v>
      </c>
      <c r="J513" s="80">
        <v>9176</v>
      </c>
      <c r="K513" s="81">
        <v>10347</v>
      </c>
      <c r="L513" s="80">
        <v>97585</v>
      </c>
      <c r="M513" s="80">
        <v>54</v>
      </c>
      <c r="N513" s="80">
        <v>0</v>
      </c>
      <c r="O513" s="81">
        <v>125258</v>
      </c>
      <c r="P513" s="81">
        <v>66</v>
      </c>
      <c r="Q513" s="81">
        <v>0</v>
      </c>
      <c r="R513" s="80"/>
      <c r="S513" s="81"/>
      <c r="T513" s="78">
        <f t="shared" si="36"/>
        <v>0</v>
      </c>
      <c r="U513" s="79">
        <f t="shared" si="39"/>
        <v>0</v>
      </c>
      <c r="V513" s="80">
        <v>0</v>
      </c>
      <c r="W513" s="81">
        <v>0</v>
      </c>
      <c r="X513" s="80">
        <v>0</v>
      </c>
      <c r="Y513" s="81">
        <v>0</v>
      </c>
      <c r="Z513" s="80">
        <v>0</v>
      </c>
      <c r="AA513" s="80">
        <v>0</v>
      </c>
      <c r="AB513" s="80">
        <v>0</v>
      </c>
      <c r="AC513" s="81">
        <v>0</v>
      </c>
      <c r="AD513" s="81">
        <v>0</v>
      </c>
      <c r="AE513" s="81">
        <v>0</v>
      </c>
      <c r="AF513" s="80"/>
      <c r="AG513" s="81"/>
    </row>
    <row r="514" spans="1:33" s="44" customFormat="1" ht="15" customHeight="1">
      <c r="A514" s="98" t="s">
        <v>577</v>
      </c>
      <c r="B514" s="99" t="s">
        <v>640</v>
      </c>
      <c r="C514" s="196"/>
      <c r="D514" s="101">
        <v>228158</v>
      </c>
      <c r="E514" s="101">
        <v>8</v>
      </c>
      <c r="F514" s="78">
        <f t="shared" si="37"/>
        <v>192940</v>
      </c>
      <c r="G514" s="79">
        <f t="shared" si="38"/>
        <v>190242</v>
      </c>
      <c r="H514" s="80">
        <v>85732</v>
      </c>
      <c r="I514" s="81">
        <v>81734</v>
      </c>
      <c r="J514" s="80">
        <v>61894</v>
      </c>
      <c r="K514" s="81">
        <v>59816</v>
      </c>
      <c r="L514" s="80">
        <v>43559</v>
      </c>
      <c r="M514" s="80">
        <v>1755</v>
      </c>
      <c r="N514" s="80">
        <v>0</v>
      </c>
      <c r="O514" s="81">
        <v>46952</v>
      </c>
      <c r="P514" s="81">
        <v>1740</v>
      </c>
      <c r="Q514" s="81">
        <v>0</v>
      </c>
      <c r="R514" s="80"/>
      <c r="S514" s="81"/>
      <c r="T514" s="78">
        <f t="shared" si="36"/>
        <v>0</v>
      </c>
      <c r="U514" s="79">
        <f t="shared" si="39"/>
        <v>0</v>
      </c>
      <c r="V514" s="80">
        <v>0</v>
      </c>
      <c r="W514" s="81">
        <v>0</v>
      </c>
      <c r="X514" s="80">
        <v>0</v>
      </c>
      <c r="Y514" s="81">
        <v>0</v>
      </c>
      <c r="Z514" s="80">
        <v>0</v>
      </c>
      <c r="AA514" s="80">
        <v>0</v>
      </c>
      <c r="AB514" s="80">
        <v>0</v>
      </c>
      <c r="AC514" s="81">
        <v>0</v>
      </c>
      <c r="AD514" s="81">
        <v>0</v>
      </c>
      <c r="AE514" s="81">
        <v>0</v>
      </c>
      <c r="AF514" s="80"/>
      <c r="AG514" s="81"/>
    </row>
    <row r="515" spans="1:33" s="44" customFormat="1" ht="15" customHeight="1">
      <c r="A515" s="98" t="s">
        <v>577</v>
      </c>
      <c r="B515" s="99" t="s">
        <v>641</v>
      </c>
      <c r="C515" s="196"/>
      <c r="D515" s="101">
        <v>227854</v>
      </c>
      <c r="E515" s="101">
        <v>8</v>
      </c>
      <c r="F515" s="78">
        <f t="shared" si="37"/>
        <v>185893</v>
      </c>
      <c r="G515" s="79">
        <f t="shared" si="38"/>
        <v>195244</v>
      </c>
      <c r="H515" s="80">
        <v>103649</v>
      </c>
      <c r="I515" s="81">
        <v>105307</v>
      </c>
      <c r="J515" s="80">
        <v>17397</v>
      </c>
      <c r="K515" s="81">
        <v>25195</v>
      </c>
      <c r="L515" s="80">
        <v>64847</v>
      </c>
      <c r="M515" s="80">
        <v>0</v>
      </c>
      <c r="N515" s="80">
        <v>0</v>
      </c>
      <c r="O515" s="81">
        <v>64742</v>
      </c>
      <c r="P515" s="81">
        <v>0</v>
      </c>
      <c r="Q515" s="81">
        <v>0</v>
      </c>
      <c r="R515" s="80"/>
      <c r="S515" s="81"/>
      <c r="T515" s="78">
        <f t="shared" si="36"/>
        <v>0</v>
      </c>
      <c r="U515" s="79">
        <f t="shared" si="39"/>
        <v>0</v>
      </c>
      <c r="V515" s="80">
        <v>0</v>
      </c>
      <c r="W515" s="81">
        <v>0</v>
      </c>
      <c r="X515" s="80">
        <v>0</v>
      </c>
      <c r="Y515" s="81">
        <v>0</v>
      </c>
      <c r="Z515" s="80">
        <v>0</v>
      </c>
      <c r="AA515" s="80">
        <v>0</v>
      </c>
      <c r="AB515" s="80">
        <v>0</v>
      </c>
      <c r="AC515" s="81">
        <v>0</v>
      </c>
      <c r="AD515" s="81">
        <v>0</v>
      </c>
      <c r="AE515" s="81">
        <v>0</v>
      </c>
      <c r="AF515" s="80"/>
      <c r="AG515" s="81"/>
    </row>
    <row r="516" spans="1:33" s="44" customFormat="1" ht="15" customHeight="1">
      <c r="A516" s="98" t="s">
        <v>577</v>
      </c>
      <c r="B516" s="99" t="s">
        <v>642</v>
      </c>
      <c r="C516" s="196"/>
      <c r="D516" s="101">
        <v>228547</v>
      </c>
      <c r="E516" s="101">
        <v>8</v>
      </c>
      <c r="F516" s="78">
        <f t="shared" si="37"/>
        <v>933437</v>
      </c>
      <c r="G516" s="79">
        <f t="shared" si="38"/>
        <v>935308</v>
      </c>
      <c r="H516" s="80">
        <v>729897</v>
      </c>
      <c r="I516" s="81">
        <v>706591</v>
      </c>
      <c r="J516" s="80">
        <v>43698</v>
      </c>
      <c r="K516" s="81">
        <v>52923</v>
      </c>
      <c r="L516" s="80">
        <v>159842</v>
      </c>
      <c r="M516" s="80">
        <v>0</v>
      </c>
      <c r="N516" s="80">
        <v>0</v>
      </c>
      <c r="O516" s="81">
        <v>175794</v>
      </c>
      <c r="P516" s="81">
        <v>0</v>
      </c>
      <c r="Q516" s="81">
        <v>0</v>
      </c>
      <c r="R516" s="80"/>
      <c r="S516" s="81"/>
      <c r="T516" s="78">
        <f t="shared" si="36"/>
        <v>0</v>
      </c>
      <c r="U516" s="79">
        <f t="shared" si="39"/>
        <v>0</v>
      </c>
      <c r="V516" s="80">
        <v>0</v>
      </c>
      <c r="W516" s="81">
        <v>0</v>
      </c>
      <c r="X516" s="80">
        <v>0</v>
      </c>
      <c r="Y516" s="81">
        <v>0</v>
      </c>
      <c r="Z516" s="80">
        <v>0</v>
      </c>
      <c r="AA516" s="80">
        <v>0</v>
      </c>
      <c r="AB516" s="80">
        <v>0</v>
      </c>
      <c r="AC516" s="81">
        <v>0</v>
      </c>
      <c r="AD516" s="81">
        <v>0</v>
      </c>
      <c r="AE516" s="81">
        <v>0</v>
      </c>
      <c r="AF516" s="80"/>
      <c r="AG516" s="81"/>
    </row>
    <row r="517" spans="1:33" s="44" customFormat="1" ht="15" customHeight="1">
      <c r="A517" s="98" t="s">
        <v>577</v>
      </c>
      <c r="B517" s="99" t="s">
        <v>643</v>
      </c>
      <c r="C517" s="196"/>
      <c r="D517" s="101">
        <v>225308</v>
      </c>
      <c r="E517" s="101">
        <v>8</v>
      </c>
      <c r="F517" s="78">
        <f t="shared" si="37"/>
        <v>142834</v>
      </c>
      <c r="G517" s="79">
        <f t="shared" si="38"/>
        <v>139129</v>
      </c>
      <c r="H517" s="80">
        <v>66925</v>
      </c>
      <c r="I517" s="81">
        <v>63542</v>
      </c>
      <c r="J517" s="80">
        <v>31134</v>
      </c>
      <c r="K517" s="81">
        <v>27524</v>
      </c>
      <c r="L517" s="80">
        <v>44775</v>
      </c>
      <c r="M517" s="80">
        <v>0</v>
      </c>
      <c r="N517" s="80">
        <v>0</v>
      </c>
      <c r="O517" s="81">
        <v>48063</v>
      </c>
      <c r="P517" s="81">
        <v>0</v>
      </c>
      <c r="Q517" s="81">
        <v>0</v>
      </c>
      <c r="R517" s="80"/>
      <c r="S517" s="81"/>
      <c r="T517" s="78">
        <f t="shared" si="36"/>
        <v>0</v>
      </c>
      <c r="U517" s="79">
        <f t="shared" si="39"/>
        <v>0</v>
      </c>
      <c r="V517" s="80">
        <v>0</v>
      </c>
      <c r="W517" s="81">
        <v>0</v>
      </c>
      <c r="X517" s="80">
        <v>0</v>
      </c>
      <c r="Y517" s="81">
        <v>0</v>
      </c>
      <c r="Z517" s="80">
        <v>0</v>
      </c>
      <c r="AA517" s="80">
        <v>0</v>
      </c>
      <c r="AB517" s="80">
        <v>0</v>
      </c>
      <c r="AC517" s="81">
        <v>0</v>
      </c>
      <c r="AD517" s="81">
        <v>0</v>
      </c>
      <c r="AE517" s="81">
        <v>0</v>
      </c>
      <c r="AF517" s="80"/>
      <c r="AG517" s="81"/>
    </row>
    <row r="518" spans="1:33" s="44" customFormat="1" ht="15" customHeight="1">
      <c r="A518" s="98" t="s">
        <v>577</v>
      </c>
      <c r="B518" s="99" t="s">
        <v>644</v>
      </c>
      <c r="C518" s="196"/>
      <c r="D518" s="101">
        <v>229355</v>
      </c>
      <c r="E518" s="101">
        <v>8</v>
      </c>
      <c r="F518" s="78">
        <f t="shared" si="37"/>
        <v>232589</v>
      </c>
      <c r="G518" s="79">
        <f t="shared" si="38"/>
        <v>240434</v>
      </c>
      <c r="H518" s="80">
        <v>141873</v>
      </c>
      <c r="I518" s="81">
        <v>140969</v>
      </c>
      <c r="J518" s="80">
        <v>17753</v>
      </c>
      <c r="K518" s="81">
        <v>20994</v>
      </c>
      <c r="L518" s="80">
        <v>72963</v>
      </c>
      <c r="M518" s="80">
        <v>0</v>
      </c>
      <c r="N518" s="80">
        <v>0</v>
      </c>
      <c r="O518" s="81">
        <v>78435</v>
      </c>
      <c r="P518" s="81">
        <v>0</v>
      </c>
      <c r="Q518" s="81">
        <v>36</v>
      </c>
      <c r="R518" s="80"/>
      <c r="S518" s="81"/>
      <c r="T518" s="78">
        <f t="shared" si="36"/>
        <v>0</v>
      </c>
      <c r="U518" s="79">
        <f t="shared" si="39"/>
        <v>0</v>
      </c>
      <c r="V518" s="80">
        <v>0</v>
      </c>
      <c r="W518" s="81">
        <v>0</v>
      </c>
      <c r="X518" s="80">
        <v>0</v>
      </c>
      <c r="Y518" s="81">
        <v>0</v>
      </c>
      <c r="Z518" s="80">
        <v>0</v>
      </c>
      <c r="AA518" s="80">
        <v>0</v>
      </c>
      <c r="AB518" s="80">
        <v>0</v>
      </c>
      <c r="AC518" s="81">
        <v>0</v>
      </c>
      <c r="AD518" s="81">
        <v>0</v>
      </c>
      <c r="AE518" s="81">
        <v>0</v>
      </c>
      <c r="AF518" s="80"/>
      <c r="AG518" s="81"/>
    </row>
    <row r="519" spans="1:33" s="44" customFormat="1" ht="15" customHeight="1">
      <c r="A519" s="98" t="s">
        <v>577</v>
      </c>
      <c r="B519" s="99" t="s">
        <v>645</v>
      </c>
      <c r="C519" s="196"/>
      <c r="D519" s="101">
        <v>222567</v>
      </c>
      <c r="E519" s="101">
        <v>9</v>
      </c>
      <c r="F519" s="78">
        <f t="shared" si="37"/>
        <v>105783</v>
      </c>
      <c r="G519" s="79">
        <f t="shared" si="38"/>
        <v>105982</v>
      </c>
      <c r="H519" s="80">
        <v>58351</v>
      </c>
      <c r="I519" s="81">
        <v>55163</v>
      </c>
      <c r="J519" s="80">
        <v>26162</v>
      </c>
      <c r="K519" s="81">
        <v>28496</v>
      </c>
      <c r="L519" s="80">
        <v>21270</v>
      </c>
      <c r="M519" s="80">
        <v>0</v>
      </c>
      <c r="N519" s="80">
        <v>0</v>
      </c>
      <c r="O519" s="81">
        <v>22323</v>
      </c>
      <c r="P519" s="81">
        <v>0</v>
      </c>
      <c r="Q519" s="81">
        <v>0</v>
      </c>
      <c r="R519" s="80"/>
      <c r="S519" s="81"/>
      <c r="T519" s="78">
        <f t="shared" si="36"/>
        <v>0</v>
      </c>
      <c r="U519" s="79">
        <f t="shared" si="39"/>
        <v>0</v>
      </c>
      <c r="V519" s="80">
        <v>0</v>
      </c>
      <c r="W519" s="81">
        <v>0</v>
      </c>
      <c r="X519" s="80">
        <v>0</v>
      </c>
      <c r="Y519" s="81">
        <v>0</v>
      </c>
      <c r="Z519" s="80">
        <v>0</v>
      </c>
      <c r="AA519" s="80">
        <v>0</v>
      </c>
      <c r="AB519" s="80">
        <v>0</v>
      </c>
      <c r="AC519" s="81">
        <v>0</v>
      </c>
      <c r="AD519" s="81">
        <v>0</v>
      </c>
      <c r="AE519" s="81">
        <v>0</v>
      </c>
      <c r="AF519" s="80"/>
      <c r="AG519" s="81"/>
    </row>
    <row r="520" spans="1:33" s="44" customFormat="1" ht="15" customHeight="1">
      <c r="A520" s="98" t="s">
        <v>577</v>
      </c>
      <c r="B520" s="99" t="s">
        <v>646</v>
      </c>
      <c r="C520" s="196"/>
      <c r="D520" s="101">
        <v>222822</v>
      </c>
      <c r="E520" s="101">
        <v>9</v>
      </c>
      <c r="F520" s="78">
        <f t="shared" si="37"/>
        <v>96412</v>
      </c>
      <c r="G520" s="79">
        <f t="shared" si="38"/>
        <v>93331</v>
      </c>
      <c r="H520" s="80">
        <v>49520</v>
      </c>
      <c r="I520" s="81">
        <v>49215</v>
      </c>
      <c r="J520" s="80">
        <v>10293</v>
      </c>
      <c r="K520" s="81">
        <v>8390</v>
      </c>
      <c r="L520" s="80">
        <v>25867</v>
      </c>
      <c r="M520" s="80">
        <v>10714</v>
      </c>
      <c r="N520" s="80">
        <v>18</v>
      </c>
      <c r="O520" s="81">
        <v>27742</v>
      </c>
      <c r="P520" s="81">
        <v>7984</v>
      </c>
      <c r="Q520" s="81">
        <v>0</v>
      </c>
      <c r="R520" s="80"/>
      <c r="S520" s="81"/>
      <c r="T520" s="78">
        <f t="shared" si="36"/>
        <v>0</v>
      </c>
      <c r="U520" s="79">
        <f t="shared" si="39"/>
        <v>0</v>
      </c>
      <c r="V520" s="80">
        <v>0</v>
      </c>
      <c r="W520" s="81">
        <v>0</v>
      </c>
      <c r="X520" s="80">
        <v>0</v>
      </c>
      <c r="Y520" s="81">
        <v>0</v>
      </c>
      <c r="Z520" s="80">
        <v>0</v>
      </c>
      <c r="AA520" s="80">
        <v>0</v>
      </c>
      <c r="AB520" s="80">
        <v>0</v>
      </c>
      <c r="AC520" s="81">
        <v>0</v>
      </c>
      <c r="AD520" s="81">
        <v>0</v>
      </c>
      <c r="AE520" s="81">
        <v>0</v>
      </c>
      <c r="AF520" s="80"/>
      <c r="AG520" s="81"/>
    </row>
    <row r="521" spans="1:33" s="44" customFormat="1" ht="15" customHeight="1">
      <c r="A521" s="98" t="s">
        <v>577</v>
      </c>
      <c r="B521" s="99" t="s">
        <v>647</v>
      </c>
      <c r="C521" s="196"/>
      <c r="D521" s="101">
        <v>223773</v>
      </c>
      <c r="E521" s="101">
        <v>9</v>
      </c>
      <c r="F521" s="78">
        <f t="shared" si="37"/>
        <v>109084</v>
      </c>
      <c r="G521" s="79">
        <f t="shared" si="38"/>
        <v>114039</v>
      </c>
      <c r="H521" s="80">
        <v>53033</v>
      </c>
      <c r="I521" s="81">
        <v>50132</v>
      </c>
      <c r="J521" s="80">
        <v>782</v>
      </c>
      <c r="K521" s="81">
        <v>6332</v>
      </c>
      <c r="L521" s="80">
        <v>55269</v>
      </c>
      <c r="M521" s="80">
        <v>0</v>
      </c>
      <c r="N521" s="80">
        <v>0</v>
      </c>
      <c r="O521" s="81">
        <v>57575</v>
      </c>
      <c r="P521" s="81">
        <v>0</v>
      </c>
      <c r="Q521" s="81">
        <v>0</v>
      </c>
      <c r="R521" s="80"/>
      <c r="S521" s="81"/>
      <c r="T521" s="78">
        <f t="shared" si="36"/>
        <v>0</v>
      </c>
      <c r="U521" s="79">
        <f t="shared" si="39"/>
        <v>0</v>
      </c>
      <c r="V521" s="80">
        <v>0</v>
      </c>
      <c r="W521" s="81">
        <v>0</v>
      </c>
      <c r="X521" s="80">
        <v>0</v>
      </c>
      <c r="Y521" s="81">
        <v>0</v>
      </c>
      <c r="Z521" s="80">
        <v>0</v>
      </c>
      <c r="AA521" s="80">
        <v>0</v>
      </c>
      <c r="AB521" s="80">
        <v>0</v>
      </c>
      <c r="AC521" s="81">
        <v>0</v>
      </c>
      <c r="AD521" s="81">
        <v>0</v>
      </c>
      <c r="AE521" s="81">
        <v>0</v>
      </c>
      <c r="AF521" s="80"/>
      <c r="AG521" s="81"/>
    </row>
    <row r="522" spans="1:33" s="44" customFormat="1" ht="15" customHeight="1">
      <c r="A522" s="98" t="s">
        <v>577</v>
      </c>
      <c r="B522" s="99" t="s">
        <v>648</v>
      </c>
      <c r="C522" s="196"/>
      <c r="D522" s="101">
        <v>223898</v>
      </c>
      <c r="E522" s="101">
        <v>9</v>
      </c>
      <c r="F522" s="78">
        <f t="shared" si="37"/>
        <v>66812</v>
      </c>
      <c r="G522" s="79">
        <f t="shared" si="38"/>
        <v>65984</v>
      </c>
      <c r="H522" s="80">
        <v>10321</v>
      </c>
      <c r="I522" s="81">
        <v>10442</v>
      </c>
      <c r="J522" s="80">
        <v>32861</v>
      </c>
      <c r="K522" s="81">
        <v>30936</v>
      </c>
      <c r="L522" s="80">
        <v>23129</v>
      </c>
      <c r="M522" s="80">
        <v>501</v>
      </c>
      <c r="N522" s="80">
        <v>0</v>
      </c>
      <c r="O522" s="81">
        <v>24137</v>
      </c>
      <c r="P522" s="81">
        <v>469</v>
      </c>
      <c r="Q522" s="81">
        <v>0</v>
      </c>
      <c r="R522" s="80"/>
      <c r="S522" s="81"/>
      <c r="T522" s="78">
        <f t="shared" si="36"/>
        <v>0</v>
      </c>
      <c r="U522" s="79">
        <f t="shared" si="39"/>
        <v>0</v>
      </c>
      <c r="V522" s="80">
        <v>0</v>
      </c>
      <c r="W522" s="81">
        <v>0</v>
      </c>
      <c r="X522" s="80">
        <v>0</v>
      </c>
      <c r="Y522" s="81">
        <v>0</v>
      </c>
      <c r="Z522" s="80">
        <v>0</v>
      </c>
      <c r="AA522" s="80">
        <v>0</v>
      </c>
      <c r="AB522" s="80">
        <v>0</v>
      </c>
      <c r="AC522" s="81">
        <v>0</v>
      </c>
      <c r="AD522" s="81">
        <v>0</v>
      </c>
      <c r="AE522" s="81">
        <v>0</v>
      </c>
      <c r="AF522" s="80"/>
      <c r="AG522" s="81"/>
    </row>
    <row r="523" spans="1:33" s="44" customFormat="1" ht="15" customHeight="1">
      <c r="A523" s="98" t="s">
        <v>577</v>
      </c>
      <c r="B523" s="99" t="s">
        <v>649</v>
      </c>
      <c r="C523" s="196"/>
      <c r="D523" s="101">
        <v>223320</v>
      </c>
      <c r="E523" s="101">
        <v>9</v>
      </c>
      <c r="F523" s="78">
        <f t="shared" si="37"/>
        <v>84095</v>
      </c>
      <c r="G523" s="79">
        <f t="shared" si="38"/>
        <v>82546</v>
      </c>
      <c r="H523" s="80">
        <v>18213</v>
      </c>
      <c r="I523" s="81">
        <v>16280</v>
      </c>
      <c r="J523" s="80">
        <v>29731</v>
      </c>
      <c r="K523" s="81">
        <v>27741</v>
      </c>
      <c r="L523" s="80">
        <v>26571</v>
      </c>
      <c r="M523" s="80">
        <v>6707</v>
      </c>
      <c r="N523" s="80">
        <v>2873</v>
      </c>
      <c r="O523" s="81">
        <v>27574</v>
      </c>
      <c r="P523" s="81">
        <v>7079</v>
      </c>
      <c r="Q523" s="81">
        <v>3872</v>
      </c>
      <c r="R523" s="80"/>
      <c r="S523" s="81"/>
      <c r="T523" s="78">
        <f t="shared" si="36"/>
        <v>0</v>
      </c>
      <c r="U523" s="79">
        <f t="shared" si="39"/>
        <v>0</v>
      </c>
      <c r="V523" s="80">
        <v>0</v>
      </c>
      <c r="W523" s="81">
        <v>0</v>
      </c>
      <c r="X523" s="80">
        <v>0</v>
      </c>
      <c r="Y523" s="81">
        <v>0</v>
      </c>
      <c r="Z523" s="80">
        <v>0</v>
      </c>
      <c r="AA523" s="80">
        <v>0</v>
      </c>
      <c r="AB523" s="80">
        <v>0</v>
      </c>
      <c r="AC523" s="81">
        <v>0</v>
      </c>
      <c r="AD523" s="81">
        <v>0</v>
      </c>
      <c r="AE523" s="81">
        <v>0</v>
      </c>
      <c r="AF523" s="80"/>
      <c r="AG523" s="81"/>
    </row>
    <row r="524" spans="1:33" s="44" customFormat="1" ht="15" customHeight="1">
      <c r="A524" s="98" t="s">
        <v>577</v>
      </c>
      <c r="B524" s="99" t="s">
        <v>650</v>
      </c>
      <c r="C524" s="196"/>
      <c r="D524" s="101">
        <v>226408</v>
      </c>
      <c r="E524" s="101">
        <v>9</v>
      </c>
      <c r="F524" s="78">
        <f t="shared" si="37"/>
        <v>76951</v>
      </c>
      <c r="G524" s="79">
        <f t="shared" si="38"/>
        <v>80759</v>
      </c>
      <c r="H524" s="80">
        <v>52954</v>
      </c>
      <c r="I524" s="81">
        <v>53258</v>
      </c>
      <c r="J524" s="80">
        <v>8309</v>
      </c>
      <c r="K524" s="81">
        <v>7157</v>
      </c>
      <c r="L524" s="80">
        <v>15688</v>
      </c>
      <c r="M524" s="80">
        <v>0</v>
      </c>
      <c r="N524" s="80">
        <v>0</v>
      </c>
      <c r="O524" s="81">
        <v>20344</v>
      </c>
      <c r="P524" s="81">
        <v>0</v>
      </c>
      <c r="Q524" s="81">
        <v>0</v>
      </c>
      <c r="R524" s="80"/>
      <c r="S524" s="81"/>
      <c r="T524" s="78">
        <f t="shared" si="36"/>
        <v>0</v>
      </c>
      <c r="U524" s="79">
        <f t="shared" si="39"/>
        <v>0</v>
      </c>
      <c r="V524" s="80">
        <v>0</v>
      </c>
      <c r="W524" s="81">
        <v>0</v>
      </c>
      <c r="X524" s="80">
        <v>0</v>
      </c>
      <c r="Y524" s="81">
        <v>0</v>
      </c>
      <c r="Z524" s="80">
        <v>0</v>
      </c>
      <c r="AA524" s="80">
        <v>0</v>
      </c>
      <c r="AB524" s="80">
        <v>0</v>
      </c>
      <c r="AC524" s="81">
        <v>0</v>
      </c>
      <c r="AD524" s="81">
        <v>0</v>
      </c>
      <c r="AE524" s="81">
        <v>0</v>
      </c>
      <c r="AF524" s="80"/>
      <c r="AG524" s="81"/>
    </row>
    <row r="525" spans="1:33" s="44" customFormat="1" ht="15" customHeight="1">
      <c r="A525" s="98" t="s">
        <v>577</v>
      </c>
      <c r="B525" s="99" t="s">
        <v>651</v>
      </c>
      <c r="C525" s="196"/>
      <c r="D525" s="101">
        <v>225070</v>
      </c>
      <c r="E525" s="101">
        <v>9</v>
      </c>
      <c r="F525" s="78">
        <f t="shared" si="37"/>
        <v>89166</v>
      </c>
      <c r="G525" s="79">
        <f t="shared" si="38"/>
        <v>82555</v>
      </c>
      <c r="H525" s="80">
        <v>49901</v>
      </c>
      <c r="I525" s="81">
        <v>46632</v>
      </c>
      <c r="J525" s="80">
        <v>4878</v>
      </c>
      <c r="K525" s="81">
        <v>2161</v>
      </c>
      <c r="L525" s="80">
        <v>31591</v>
      </c>
      <c r="M525" s="80">
        <v>0</v>
      </c>
      <c r="N525" s="80">
        <v>2796</v>
      </c>
      <c r="O525" s="81">
        <v>31671</v>
      </c>
      <c r="P525" s="81">
        <v>0</v>
      </c>
      <c r="Q525" s="81">
        <v>2091</v>
      </c>
      <c r="R525" s="80"/>
      <c r="S525" s="81"/>
      <c r="T525" s="78">
        <f t="shared" si="36"/>
        <v>0</v>
      </c>
      <c r="U525" s="79">
        <f t="shared" si="39"/>
        <v>0</v>
      </c>
      <c r="V525" s="80">
        <v>0</v>
      </c>
      <c r="W525" s="81">
        <v>0</v>
      </c>
      <c r="X525" s="80">
        <v>0</v>
      </c>
      <c r="Y525" s="81">
        <v>0</v>
      </c>
      <c r="Z525" s="80">
        <v>0</v>
      </c>
      <c r="AA525" s="80">
        <v>0</v>
      </c>
      <c r="AB525" s="80">
        <v>0</v>
      </c>
      <c r="AC525" s="81">
        <v>0</v>
      </c>
      <c r="AD525" s="81">
        <v>0</v>
      </c>
      <c r="AE525" s="81">
        <v>0</v>
      </c>
      <c r="AF525" s="80"/>
      <c r="AG525" s="81"/>
    </row>
    <row r="526" spans="1:33" s="44" customFormat="1" ht="15" customHeight="1">
      <c r="A526" s="98" t="s">
        <v>577</v>
      </c>
      <c r="B526" s="99" t="s">
        <v>652</v>
      </c>
      <c r="C526" s="196"/>
      <c r="D526" s="101">
        <v>225371</v>
      </c>
      <c r="E526" s="101">
        <v>9</v>
      </c>
      <c r="F526" s="78">
        <f t="shared" si="37"/>
        <v>80669</v>
      </c>
      <c r="G526" s="79">
        <f t="shared" si="38"/>
        <v>83420</v>
      </c>
      <c r="H526" s="80">
        <v>13350</v>
      </c>
      <c r="I526" s="81">
        <v>12207</v>
      </c>
      <c r="J526" s="80">
        <v>32125</v>
      </c>
      <c r="K526" s="81">
        <v>31819</v>
      </c>
      <c r="L526" s="80">
        <v>33871</v>
      </c>
      <c r="M526" s="80">
        <v>1323</v>
      </c>
      <c r="N526" s="80">
        <v>0</v>
      </c>
      <c r="O526" s="81">
        <v>38278</v>
      </c>
      <c r="P526" s="81">
        <v>1116</v>
      </c>
      <c r="Q526" s="81">
        <v>0</v>
      </c>
      <c r="R526" s="80"/>
      <c r="S526" s="81"/>
      <c r="T526" s="78">
        <f t="shared" si="36"/>
        <v>0</v>
      </c>
      <c r="U526" s="79">
        <f t="shared" si="39"/>
        <v>0</v>
      </c>
      <c r="V526" s="80">
        <v>0</v>
      </c>
      <c r="W526" s="81">
        <v>0</v>
      </c>
      <c r="X526" s="80">
        <v>0</v>
      </c>
      <c r="Y526" s="81">
        <v>0</v>
      </c>
      <c r="Z526" s="80">
        <v>0</v>
      </c>
      <c r="AA526" s="80">
        <v>0</v>
      </c>
      <c r="AB526" s="80">
        <v>0</v>
      </c>
      <c r="AC526" s="81">
        <v>0</v>
      </c>
      <c r="AD526" s="81">
        <v>0</v>
      </c>
      <c r="AE526" s="81">
        <v>0</v>
      </c>
      <c r="AF526" s="80"/>
      <c r="AG526" s="81"/>
    </row>
    <row r="527" spans="1:33" s="44" customFormat="1" ht="15" customHeight="1">
      <c r="A527" s="98" t="s">
        <v>577</v>
      </c>
      <c r="B527" s="99" t="s">
        <v>653</v>
      </c>
      <c r="C527" s="196"/>
      <c r="D527" s="101">
        <v>225520</v>
      </c>
      <c r="E527" s="101">
        <v>9</v>
      </c>
      <c r="F527" s="78">
        <f t="shared" si="37"/>
        <v>64360</v>
      </c>
      <c r="G527" s="79">
        <f t="shared" si="38"/>
        <v>64852</v>
      </c>
      <c r="H527" s="80">
        <v>14125</v>
      </c>
      <c r="I527" s="81">
        <v>13488</v>
      </c>
      <c r="J527" s="80">
        <v>25488</v>
      </c>
      <c r="K527" s="81">
        <v>25719</v>
      </c>
      <c r="L527" s="80">
        <v>22935</v>
      </c>
      <c r="M527" s="80">
        <v>1812</v>
      </c>
      <c r="N527" s="80">
        <v>0</v>
      </c>
      <c r="O527" s="81">
        <v>24861</v>
      </c>
      <c r="P527" s="81">
        <v>784</v>
      </c>
      <c r="Q527" s="81">
        <v>0</v>
      </c>
      <c r="R527" s="80"/>
      <c r="S527" s="81"/>
      <c r="T527" s="78">
        <f t="shared" si="36"/>
        <v>0</v>
      </c>
      <c r="U527" s="79">
        <f t="shared" si="39"/>
        <v>0</v>
      </c>
      <c r="V527" s="80">
        <v>0</v>
      </c>
      <c r="W527" s="81">
        <v>0</v>
      </c>
      <c r="X527" s="80">
        <v>0</v>
      </c>
      <c r="Y527" s="81">
        <v>0</v>
      </c>
      <c r="Z527" s="80">
        <v>0</v>
      </c>
      <c r="AA527" s="80">
        <v>0</v>
      </c>
      <c r="AB527" s="80">
        <v>0</v>
      </c>
      <c r="AC527" s="81">
        <v>0</v>
      </c>
      <c r="AD527" s="81">
        <v>0</v>
      </c>
      <c r="AE527" s="81">
        <v>0</v>
      </c>
      <c r="AF527" s="80"/>
      <c r="AG527" s="81"/>
    </row>
    <row r="528" spans="1:33" s="44" customFormat="1" ht="15" customHeight="1">
      <c r="A528" s="98" t="s">
        <v>577</v>
      </c>
      <c r="B528" s="99" t="s">
        <v>654</v>
      </c>
      <c r="C528" s="196"/>
      <c r="D528" s="101">
        <v>226019</v>
      </c>
      <c r="E528" s="101">
        <v>9</v>
      </c>
      <c r="F528" s="78">
        <f t="shared" si="37"/>
        <v>110550</v>
      </c>
      <c r="G528" s="79">
        <f t="shared" si="38"/>
        <v>111902</v>
      </c>
      <c r="H528" s="80">
        <v>62326</v>
      </c>
      <c r="I528" s="81">
        <v>60846</v>
      </c>
      <c r="J528" s="80">
        <v>30123</v>
      </c>
      <c r="K528" s="81">
        <v>31203</v>
      </c>
      <c r="L528" s="80">
        <v>17270</v>
      </c>
      <c r="M528" s="80">
        <v>831</v>
      </c>
      <c r="N528" s="80">
        <v>0</v>
      </c>
      <c r="O528" s="81">
        <v>19205</v>
      </c>
      <c r="P528" s="81">
        <v>648</v>
      </c>
      <c r="Q528" s="81">
        <v>0</v>
      </c>
      <c r="R528" s="80"/>
      <c r="S528" s="81"/>
      <c r="T528" s="78">
        <f t="shared" si="36"/>
        <v>0</v>
      </c>
      <c r="U528" s="79">
        <f t="shared" si="39"/>
        <v>0</v>
      </c>
      <c r="V528" s="80">
        <v>0</v>
      </c>
      <c r="W528" s="81">
        <v>0</v>
      </c>
      <c r="X528" s="80">
        <v>0</v>
      </c>
      <c r="Y528" s="81">
        <v>0</v>
      </c>
      <c r="Z528" s="80">
        <v>0</v>
      </c>
      <c r="AA528" s="80">
        <v>0</v>
      </c>
      <c r="AB528" s="80">
        <v>0</v>
      </c>
      <c r="AC528" s="81">
        <v>0</v>
      </c>
      <c r="AD528" s="81">
        <v>0</v>
      </c>
      <c r="AE528" s="81">
        <v>0</v>
      </c>
      <c r="AF528" s="80"/>
      <c r="AG528" s="81"/>
    </row>
    <row r="529" spans="1:33" s="44" customFormat="1" ht="15" customHeight="1">
      <c r="A529" s="98" t="s">
        <v>577</v>
      </c>
      <c r="B529" s="99" t="s">
        <v>655</v>
      </c>
      <c r="C529" s="196"/>
      <c r="D529" s="101">
        <v>441760</v>
      </c>
      <c r="E529" s="200">
        <v>9</v>
      </c>
      <c r="F529" s="78">
        <f t="shared" si="37"/>
        <v>58211</v>
      </c>
      <c r="G529" s="79">
        <f t="shared" si="38"/>
        <v>59131</v>
      </c>
      <c r="H529" s="80">
        <v>49715</v>
      </c>
      <c r="I529" s="81">
        <v>46185</v>
      </c>
      <c r="J529" s="80">
        <v>2132</v>
      </c>
      <c r="K529" s="81">
        <v>3984</v>
      </c>
      <c r="L529" s="80">
        <v>6322</v>
      </c>
      <c r="M529" s="80">
        <v>42</v>
      </c>
      <c r="N529" s="80">
        <v>0</v>
      </c>
      <c r="O529" s="81">
        <v>8962</v>
      </c>
      <c r="P529" s="81">
        <v>0</v>
      </c>
      <c r="Q529" s="81">
        <v>0</v>
      </c>
      <c r="R529" s="80"/>
      <c r="S529" s="81"/>
      <c r="T529" s="78">
        <f t="shared" si="36"/>
        <v>0</v>
      </c>
      <c r="U529" s="79">
        <f t="shared" si="39"/>
        <v>0</v>
      </c>
      <c r="V529" s="80">
        <v>0</v>
      </c>
      <c r="W529" s="81">
        <v>0</v>
      </c>
      <c r="X529" s="80">
        <v>0</v>
      </c>
      <c r="Y529" s="81">
        <v>0</v>
      </c>
      <c r="Z529" s="80">
        <v>0</v>
      </c>
      <c r="AA529" s="80">
        <v>0</v>
      </c>
      <c r="AB529" s="80">
        <v>0</v>
      </c>
      <c r="AC529" s="81">
        <v>0</v>
      </c>
      <c r="AD529" s="81">
        <v>0</v>
      </c>
      <c r="AE529" s="81">
        <v>0</v>
      </c>
      <c r="AF529" s="80"/>
      <c r="AG529" s="81"/>
    </row>
    <row r="530" spans="1:33" s="44" customFormat="1" ht="15" customHeight="1">
      <c r="A530" s="159" t="s">
        <v>577</v>
      </c>
      <c r="B530" s="99" t="s">
        <v>656</v>
      </c>
      <c r="C530" s="160"/>
      <c r="D530" s="101">
        <v>226116</v>
      </c>
      <c r="E530" s="200">
        <v>10</v>
      </c>
      <c r="F530" s="78">
        <f t="shared" si="37"/>
        <v>41887</v>
      </c>
      <c r="G530" s="79">
        <f t="shared" si="38"/>
        <v>44855</v>
      </c>
      <c r="H530" s="80">
        <v>28462</v>
      </c>
      <c r="I530" s="81">
        <v>30542</v>
      </c>
      <c r="J530" s="80">
        <v>7355</v>
      </c>
      <c r="K530" s="81">
        <v>10563</v>
      </c>
      <c r="L530" s="80">
        <v>6070</v>
      </c>
      <c r="M530" s="80">
        <v>0</v>
      </c>
      <c r="N530" s="80">
        <v>0</v>
      </c>
      <c r="O530" s="81">
        <v>3750</v>
      </c>
      <c r="P530" s="81">
        <v>0</v>
      </c>
      <c r="Q530" s="81">
        <v>0</v>
      </c>
      <c r="R530" s="80"/>
      <c r="S530" s="81"/>
      <c r="T530" s="78">
        <f t="shared" si="36"/>
        <v>0</v>
      </c>
      <c r="U530" s="79">
        <f t="shared" si="39"/>
        <v>0</v>
      </c>
      <c r="V530" s="80">
        <v>0</v>
      </c>
      <c r="W530" s="81">
        <v>0</v>
      </c>
      <c r="X530" s="80">
        <v>0</v>
      </c>
      <c r="Y530" s="81">
        <v>0</v>
      </c>
      <c r="Z530" s="80">
        <v>0</v>
      </c>
      <c r="AA530" s="80">
        <v>0</v>
      </c>
      <c r="AB530" s="80">
        <v>0</v>
      </c>
      <c r="AC530" s="81">
        <v>0</v>
      </c>
      <c r="AD530" s="81">
        <v>0</v>
      </c>
      <c r="AE530" s="81">
        <v>0</v>
      </c>
      <c r="AF530" s="80"/>
      <c r="AG530" s="81"/>
    </row>
    <row r="531" spans="1:33" s="44" customFormat="1" ht="15" customHeight="1">
      <c r="A531" s="159" t="s">
        <v>577</v>
      </c>
      <c r="B531" s="99" t="s">
        <v>657</v>
      </c>
      <c r="C531" s="196" t="s">
        <v>690</v>
      </c>
      <c r="D531" s="101">
        <v>226204</v>
      </c>
      <c r="E531" s="101">
        <v>9</v>
      </c>
      <c r="F531" s="78">
        <f t="shared" si="37"/>
        <v>148933</v>
      </c>
      <c r="G531" s="79">
        <f t="shared" si="38"/>
        <v>152285</v>
      </c>
      <c r="H531" s="80">
        <v>84562</v>
      </c>
      <c r="I531" s="81">
        <v>83372</v>
      </c>
      <c r="J531" s="80">
        <v>42447</v>
      </c>
      <c r="K531" s="81">
        <v>44840</v>
      </c>
      <c r="L531" s="80">
        <v>21924</v>
      </c>
      <c r="M531" s="80">
        <v>0</v>
      </c>
      <c r="N531" s="80">
        <v>0</v>
      </c>
      <c r="O531" s="81">
        <v>24073</v>
      </c>
      <c r="P531" s="81">
        <v>0</v>
      </c>
      <c r="Q531" s="81">
        <v>0</v>
      </c>
      <c r="R531" s="80"/>
      <c r="S531" s="81"/>
      <c r="T531" s="78">
        <f t="shared" si="36"/>
        <v>0</v>
      </c>
      <c r="U531" s="79">
        <f t="shared" si="39"/>
        <v>0</v>
      </c>
      <c r="V531" s="80">
        <v>0</v>
      </c>
      <c r="W531" s="81">
        <v>0</v>
      </c>
      <c r="X531" s="80">
        <v>0</v>
      </c>
      <c r="Y531" s="81">
        <v>0</v>
      </c>
      <c r="Z531" s="80">
        <v>0</v>
      </c>
      <c r="AA531" s="80">
        <v>0</v>
      </c>
      <c r="AB531" s="80">
        <v>0</v>
      </c>
      <c r="AC531" s="81">
        <v>0</v>
      </c>
      <c r="AD531" s="81">
        <v>0</v>
      </c>
      <c r="AE531" s="81">
        <v>0</v>
      </c>
      <c r="AF531" s="80"/>
      <c r="AG531" s="81"/>
    </row>
    <row r="532" spans="1:33" s="44" customFormat="1" ht="15" customHeight="1">
      <c r="A532" s="159" t="s">
        <v>577</v>
      </c>
      <c r="B532" s="199" t="s">
        <v>658</v>
      </c>
      <c r="C532" s="196" t="s">
        <v>690</v>
      </c>
      <c r="D532" s="101">
        <v>226930</v>
      </c>
      <c r="E532" s="101">
        <v>9</v>
      </c>
      <c r="F532" s="78">
        <f t="shared" si="37"/>
        <v>148939</v>
      </c>
      <c r="G532" s="79">
        <f t="shared" si="38"/>
        <v>153499</v>
      </c>
      <c r="H532" s="80">
        <v>102305</v>
      </c>
      <c r="I532" s="81">
        <v>97225</v>
      </c>
      <c r="J532" s="80">
        <v>624</v>
      </c>
      <c r="K532" s="81">
        <v>5481</v>
      </c>
      <c r="L532" s="80">
        <v>46010</v>
      </c>
      <c r="M532" s="80">
        <v>0</v>
      </c>
      <c r="N532" s="80">
        <v>0</v>
      </c>
      <c r="O532" s="81">
        <v>50793</v>
      </c>
      <c r="P532" s="81">
        <v>0</v>
      </c>
      <c r="Q532" s="81">
        <v>0</v>
      </c>
      <c r="R532" s="80"/>
      <c r="S532" s="81"/>
      <c r="T532" s="78">
        <f t="shared" si="36"/>
        <v>0</v>
      </c>
      <c r="U532" s="79">
        <f t="shared" si="39"/>
        <v>0</v>
      </c>
      <c r="V532" s="80">
        <v>0</v>
      </c>
      <c r="W532" s="81">
        <v>0</v>
      </c>
      <c r="X532" s="80">
        <v>0</v>
      </c>
      <c r="Y532" s="81">
        <v>0</v>
      </c>
      <c r="Z532" s="80">
        <v>0</v>
      </c>
      <c r="AA532" s="80">
        <v>0</v>
      </c>
      <c r="AB532" s="80">
        <v>0</v>
      </c>
      <c r="AC532" s="81">
        <v>0</v>
      </c>
      <c r="AD532" s="81">
        <v>0</v>
      </c>
      <c r="AE532" s="81">
        <v>0</v>
      </c>
      <c r="AF532" s="80"/>
      <c r="AG532" s="81"/>
    </row>
    <row r="533" spans="1:33">
      <c r="A533" s="159" t="s">
        <v>577</v>
      </c>
      <c r="B533" s="99" t="s">
        <v>659</v>
      </c>
      <c r="C533" s="100"/>
      <c r="D533" s="101">
        <v>227225</v>
      </c>
      <c r="E533" s="101">
        <v>9</v>
      </c>
      <c r="F533" s="78">
        <f t="shared" si="37"/>
        <v>60231</v>
      </c>
      <c r="G533" s="79">
        <f t="shared" si="38"/>
        <v>63489</v>
      </c>
      <c r="H533" s="80">
        <v>36206</v>
      </c>
      <c r="I533" s="81">
        <v>32177</v>
      </c>
      <c r="J533" s="80">
        <v>2515</v>
      </c>
      <c r="K533" s="81">
        <v>3294</v>
      </c>
      <c r="L533" s="80">
        <v>21510</v>
      </c>
      <c r="M533" s="80">
        <v>0</v>
      </c>
      <c r="N533" s="80">
        <v>0</v>
      </c>
      <c r="O533" s="81">
        <v>28018</v>
      </c>
      <c r="P533" s="81">
        <v>0</v>
      </c>
      <c r="Q533" s="81">
        <v>0</v>
      </c>
      <c r="R533" s="80"/>
      <c r="S533" s="81"/>
      <c r="T533" s="78">
        <f t="shared" si="36"/>
        <v>0</v>
      </c>
      <c r="U533" s="79">
        <f t="shared" si="39"/>
        <v>0</v>
      </c>
      <c r="V533" s="80">
        <v>0</v>
      </c>
      <c r="W533" s="81">
        <v>0</v>
      </c>
      <c r="X533" s="80">
        <v>0</v>
      </c>
      <c r="Y533" s="81">
        <v>0</v>
      </c>
      <c r="Z533" s="80">
        <v>0</v>
      </c>
      <c r="AA533" s="80">
        <v>0</v>
      </c>
      <c r="AB533" s="80">
        <v>0</v>
      </c>
      <c r="AC533" s="81">
        <v>0</v>
      </c>
      <c r="AD533" s="81">
        <v>0</v>
      </c>
      <c r="AE533" s="81">
        <v>0</v>
      </c>
      <c r="AF533" s="80"/>
      <c r="AG533" s="81"/>
    </row>
    <row r="534" spans="1:33">
      <c r="A534" s="159" t="s">
        <v>577</v>
      </c>
      <c r="B534" s="99" t="s">
        <v>660</v>
      </c>
      <c r="C534" s="100"/>
      <c r="D534" s="101">
        <v>227304</v>
      </c>
      <c r="E534" s="101">
        <v>9</v>
      </c>
      <c r="F534" s="78">
        <f t="shared" si="37"/>
        <v>108209</v>
      </c>
      <c r="G534" s="79">
        <f t="shared" si="38"/>
        <v>117064</v>
      </c>
      <c r="H534" s="80">
        <v>55378</v>
      </c>
      <c r="I534" s="81">
        <v>59473</v>
      </c>
      <c r="J534" s="80">
        <v>9319</v>
      </c>
      <c r="K534" s="81">
        <v>9644</v>
      </c>
      <c r="L534" s="80">
        <v>43512</v>
      </c>
      <c r="M534" s="80">
        <v>0</v>
      </c>
      <c r="N534" s="80">
        <v>0</v>
      </c>
      <c r="O534" s="81">
        <v>47947</v>
      </c>
      <c r="P534" s="81">
        <v>0</v>
      </c>
      <c r="Q534" s="81">
        <v>0</v>
      </c>
      <c r="R534" s="80"/>
      <c r="S534" s="81"/>
      <c r="T534" s="78">
        <f t="shared" si="36"/>
        <v>0</v>
      </c>
      <c r="U534" s="79">
        <f t="shared" si="39"/>
        <v>0</v>
      </c>
      <c r="V534" s="80">
        <v>0</v>
      </c>
      <c r="W534" s="81">
        <v>0</v>
      </c>
      <c r="X534" s="80">
        <v>0</v>
      </c>
      <c r="Y534" s="81">
        <v>0</v>
      </c>
      <c r="Z534" s="80">
        <v>0</v>
      </c>
      <c r="AA534" s="80">
        <v>0</v>
      </c>
      <c r="AB534" s="80">
        <v>0</v>
      </c>
      <c r="AC534" s="81">
        <v>0</v>
      </c>
      <c r="AD534" s="81">
        <v>0</v>
      </c>
      <c r="AE534" s="81">
        <v>0</v>
      </c>
      <c r="AF534" s="80"/>
      <c r="AG534" s="81"/>
    </row>
    <row r="535" spans="1:33">
      <c r="A535" s="159" t="s">
        <v>577</v>
      </c>
      <c r="B535" s="99" t="s">
        <v>661</v>
      </c>
      <c r="C535" s="100"/>
      <c r="D535" s="101">
        <v>227401</v>
      </c>
      <c r="E535" s="101">
        <v>9</v>
      </c>
      <c r="F535" s="78">
        <f t="shared" si="37"/>
        <v>98644</v>
      </c>
      <c r="G535" s="79">
        <f t="shared" si="38"/>
        <v>94661</v>
      </c>
      <c r="H535" s="80">
        <v>24421</v>
      </c>
      <c r="I535" s="81">
        <v>21690</v>
      </c>
      <c r="J535" s="80">
        <v>27945</v>
      </c>
      <c r="K535" s="81">
        <v>26502</v>
      </c>
      <c r="L535" s="80">
        <v>42463</v>
      </c>
      <c r="M535" s="80">
        <v>3815</v>
      </c>
      <c r="N535" s="80">
        <v>0</v>
      </c>
      <c r="O535" s="81">
        <v>42325</v>
      </c>
      <c r="P535" s="81">
        <v>4144</v>
      </c>
      <c r="Q535" s="81">
        <v>0</v>
      </c>
      <c r="R535" s="80"/>
      <c r="S535" s="81"/>
      <c r="T535" s="78">
        <f t="shared" si="36"/>
        <v>0</v>
      </c>
      <c r="U535" s="79">
        <f t="shared" si="39"/>
        <v>0</v>
      </c>
      <c r="V535" s="80">
        <v>0</v>
      </c>
      <c r="W535" s="81">
        <v>0</v>
      </c>
      <c r="X535" s="80">
        <v>0</v>
      </c>
      <c r="Y535" s="81">
        <v>0</v>
      </c>
      <c r="Z535" s="80">
        <v>0</v>
      </c>
      <c r="AA535" s="80">
        <v>0</v>
      </c>
      <c r="AB535" s="80">
        <v>0</v>
      </c>
      <c r="AC535" s="81">
        <v>0</v>
      </c>
      <c r="AD535" s="81">
        <v>0</v>
      </c>
      <c r="AE535" s="81">
        <v>0</v>
      </c>
      <c r="AF535" s="80"/>
      <c r="AG535" s="81"/>
    </row>
    <row r="536" spans="1:33">
      <c r="A536" s="159" t="s">
        <v>577</v>
      </c>
      <c r="B536" s="99" t="s">
        <v>662</v>
      </c>
      <c r="C536" s="100"/>
      <c r="D536" s="101">
        <v>228316</v>
      </c>
      <c r="E536" s="101">
        <v>9</v>
      </c>
      <c r="F536" s="78">
        <f t="shared" si="37"/>
        <v>104332</v>
      </c>
      <c r="G536" s="79">
        <f t="shared" si="38"/>
        <v>112056</v>
      </c>
      <c r="H536" s="80">
        <v>21380</v>
      </c>
      <c r="I536" s="81">
        <v>19122</v>
      </c>
      <c r="J536" s="80">
        <v>56122</v>
      </c>
      <c r="K536" s="81">
        <v>61308</v>
      </c>
      <c r="L536" s="80">
        <v>10981</v>
      </c>
      <c r="M536" s="80">
        <v>15849</v>
      </c>
      <c r="N536" s="80">
        <v>0</v>
      </c>
      <c r="O536" s="81">
        <v>14375</v>
      </c>
      <c r="P536" s="81">
        <v>17251</v>
      </c>
      <c r="Q536" s="81">
        <v>0</v>
      </c>
      <c r="R536" s="80"/>
      <c r="S536" s="81"/>
      <c r="T536" s="78">
        <f t="shared" si="36"/>
        <v>0</v>
      </c>
      <c r="U536" s="79">
        <f t="shared" si="39"/>
        <v>0</v>
      </c>
      <c r="V536" s="80">
        <v>0</v>
      </c>
      <c r="W536" s="81">
        <v>0</v>
      </c>
      <c r="X536" s="80">
        <v>0</v>
      </c>
      <c r="Y536" s="81">
        <v>0</v>
      </c>
      <c r="Z536" s="80">
        <v>0</v>
      </c>
      <c r="AA536" s="80">
        <v>0</v>
      </c>
      <c r="AB536" s="80">
        <v>0</v>
      </c>
      <c r="AC536" s="81">
        <v>0</v>
      </c>
      <c r="AD536" s="81">
        <v>0</v>
      </c>
      <c r="AE536" s="81">
        <v>0</v>
      </c>
      <c r="AF536" s="80"/>
      <c r="AG536" s="81"/>
    </row>
    <row r="537" spans="1:33">
      <c r="A537" s="159" t="s">
        <v>577</v>
      </c>
      <c r="B537" s="99" t="s">
        <v>663</v>
      </c>
      <c r="C537" s="100"/>
      <c r="D537" s="101">
        <v>228608</v>
      </c>
      <c r="E537" s="101">
        <v>9</v>
      </c>
      <c r="F537" s="78">
        <f t="shared" si="37"/>
        <v>100313</v>
      </c>
      <c r="G537" s="79">
        <f t="shared" si="38"/>
        <v>97228</v>
      </c>
      <c r="H537" s="80">
        <v>53849</v>
      </c>
      <c r="I537" s="81">
        <v>50513</v>
      </c>
      <c r="J537" s="80">
        <v>14640</v>
      </c>
      <c r="K537" s="81">
        <v>15016</v>
      </c>
      <c r="L537" s="80">
        <v>31533</v>
      </c>
      <c r="M537" s="80">
        <v>291</v>
      </c>
      <c r="N537" s="80">
        <v>0</v>
      </c>
      <c r="O537" s="81">
        <v>31548</v>
      </c>
      <c r="P537" s="81">
        <v>151</v>
      </c>
      <c r="Q537" s="81">
        <v>0</v>
      </c>
      <c r="R537" s="80"/>
      <c r="S537" s="81"/>
      <c r="T537" s="78">
        <f t="shared" si="36"/>
        <v>0</v>
      </c>
      <c r="U537" s="79">
        <f t="shared" si="39"/>
        <v>0</v>
      </c>
      <c r="V537" s="80">
        <v>0</v>
      </c>
      <c r="W537" s="81">
        <v>0</v>
      </c>
      <c r="X537" s="80">
        <v>0</v>
      </c>
      <c r="Y537" s="81">
        <v>0</v>
      </c>
      <c r="Z537" s="80">
        <v>0</v>
      </c>
      <c r="AA537" s="80">
        <v>0</v>
      </c>
      <c r="AB537" s="80">
        <v>0</v>
      </c>
      <c r="AC537" s="81">
        <v>0</v>
      </c>
      <c r="AD537" s="81">
        <v>0</v>
      </c>
      <c r="AE537" s="81">
        <v>0</v>
      </c>
      <c r="AF537" s="80"/>
      <c r="AG537" s="81"/>
    </row>
    <row r="538" spans="1:33">
      <c r="A538" s="159" t="s">
        <v>577</v>
      </c>
      <c r="B538" s="99" t="s">
        <v>664</v>
      </c>
      <c r="C538" s="100"/>
      <c r="D538" s="101">
        <v>228699</v>
      </c>
      <c r="E538" s="101">
        <v>9</v>
      </c>
      <c r="F538" s="78">
        <f t="shared" si="37"/>
        <v>74983</v>
      </c>
      <c r="G538" s="79">
        <f t="shared" si="38"/>
        <v>77413</v>
      </c>
      <c r="H538" s="80">
        <v>50480</v>
      </c>
      <c r="I538" s="81">
        <v>48762</v>
      </c>
      <c r="J538" s="80">
        <v>12848</v>
      </c>
      <c r="K538" s="81">
        <v>12849</v>
      </c>
      <c r="L538" s="80">
        <v>11538</v>
      </c>
      <c r="M538" s="80">
        <v>0</v>
      </c>
      <c r="N538" s="80">
        <v>117</v>
      </c>
      <c r="O538" s="81">
        <v>15712</v>
      </c>
      <c r="P538" s="81">
        <v>0</v>
      </c>
      <c r="Q538" s="81">
        <v>90</v>
      </c>
      <c r="R538" s="80"/>
      <c r="S538" s="81"/>
      <c r="T538" s="78">
        <f t="shared" si="36"/>
        <v>0</v>
      </c>
      <c r="U538" s="79">
        <f t="shared" si="39"/>
        <v>0</v>
      </c>
      <c r="V538" s="80">
        <v>0</v>
      </c>
      <c r="W538" s="81">
        <v>0</v>
      </c>
      <c r="X538" s="80">
        <v>0</v>
      </c>
      <c r="Y538" s="81">
        <v>0</v>
      </c>
      <c r="Z538" s="80">
        <v>0</v>
      </c>
      <c r="AA538" s="80">
        <v>0</v>
      </c>
      <c r="AB538" s="80">
        <v>0</v>
      </c>
      <c r="AC538" s="81">
        <v>0</v>
      </c>
      <c r="AD538" s="81">
        <v>0</v>
      </c>
      <c r="AE538" s="81">
        <v>0</v>
      </c>
      <c r="AF538" s="80"/>
      <c r="AG538" s="81"/>
    </row>
    <row r="539" spans="1:33">
      <c r="A539" s="159" t="s">
        <v>577</v>
      </c>
      <c r="B539" s="99" t="s">
        <v>665</v>
      </c>
      <c r="C539" s="201"/>
      <c r="D539" s="101">
        <v>229072</v>
      </c>
      <c r="E539" s="202">
        <v>9</v>
      </c>
      <c r="F539" s="78">
        <f t="shared" si="37"/>
        <v>77121</v>
      </c>
      <c r="G539" s="79">
        <f t="shared" si="38"/>
        <v>89951</v>
      </c>
      <c r="H539" s="80">
        <v>64300</v>
      </c>
      <c r="I539" s="81">
        <v>69711</v>
      </c>
      <c r="J539" s="80">
        <v>12785</v>
      </c>
      <c r="K539" s="81">
        <v>19082</v>
      </c>
      <c r="L539" s="80">
        <v>36</v>
      </c>
      <c r="M539" s="80">
        <v>0</v>
      </c>
      <c r="N539" s="80">
        <v>0</v>
      </c>
      <c r="O539" s="81">
        <v>1158</v>
      </c>
      <c r="P539" s="81">
        <v>0</v>
      </c>
      <c r="Q539" s="81">
        <v>0</v>
      </c>
      <c r="R539" s="80"/>
      <c r="S539" s="81"/>
      <c r="T539" s="78">
        <f t="shared" si="36"/>
        <v>0</v>
      </c>
      <c r="U539" s="79">
        <f t="shared" si="39"/>
        <v>0</v>
      </c>
      <c r="V539" s="80">
        <v>0</v>
      </c>
      <c r="W539" s="81">
        <v>0</v>
      </c>
      <c r="X539" s="80">
        <v>0</v>
      </c>
      <c r="Y539" s="81">
        <v>0</v>
      </c>
      <c r="Z539" s="80">
        <v>0</v>
      </c>
      <c r="AA539" s="80">
        <v>0</v>
      </c>
      <c r="AB539" s="80">
        <v>0</v>
      </c>
      <c r="AC539" s="81">
        <v>0</v>
      </c>
      <c r="AD539" s="81">
        <v>0</v>
      </c>
      <c r="AE539" s="81">
        <v>0</v>
      </c>
      <c r="AF539" s="80"/>
      <c r="AG539" s="81"/>
    </row>
    <row r="540" spans="1:33">
      <c r="A540" s="159" t="s">
        <v>577</v>
      </c>
      <c r="B540" s="99" t="s">
        <v>666</v>
      </c>
      <c r="C540" s="201"/>
      <c r="D540" s="101">
        <v>229319</v>
      </c>
      <c r="E540" s="101">
        <v>9</v>
      </c>
      <c r="F540" s="78">
        <f t="shared" si="37"/>
        <v>115260</v>
      </c>
      <c r="G540" s="79">
        <f t="shared" si="38"/>
        <v>113339</v>
      </c>
      <c r="H540" s="80">
        <v>93554</v>
      </c>
      <c r="I540" s="81">
        <v>95019</v>
      </c>
      <c r="J540" s="80">
        <v>14216</v>
      </c>
      <c r="K540" s="81">
        <v>10007</v>
      </c>
      <c r="L540" s="80">
        <v>7490</v>
      </c>
      <c r="M540" s="80">
        <v>0</v>
      </c>
      <c r="N540" s="80">
        <v>0</v>
      </c>
      <c r="O540" s="81">
        <v>8313</v>
      </c>
      <c r="P540" s="81">
        <v>0</v>
      </c>
      <c r="Q540" s="81">
        <v>0</v>
      </c>
      <c r="R540" s="80"/>
      <c r="S540" s="81"/>
      <c r="T540" s="78">
        <f t="shared" si="36"/>
        <v>0</v>
      </c>
      <c r="U540" s="79">
        <f t="shared" si="39"/>
        <v>0</v>
      </c>
      <c r="V540" s="80">
        <v>0</v>
      </c>
      <c r="W540" s="81">
        <v>0</v>
      </c>
      <c r="X540" s="80">
        <v>0</v>
      </c>
      <c r="Y540" s="81">
        <v>0</v>
      </c>
      <c r="Z540" s="80">
        <v>0</v>
      </c>
      <c r="AA540" s="80">
        <v>0</v>
      </c>
      <c r="AB540" s="80">
        <v>0</v>
      </c>
      <c r="AC540" s="81">
        <v>0</v>
      </c>
      <c r="AD540" s="81">
        <v>0</v>
      </c>
      <c r="AE540" s="81">
        <v>0</v>
      </c>
      <c r="AF540" s="80"/>
      <c r="AG540" s="81"/>
    </row>
    <row r="541" spans="1:33">
      <c r="A541" s="159" t="s">
        <v>577</v>
      </c>
      <c r="B541" s="99" t="s">
        <v>667</v>
      </c>
      <c r="C541" s="201"/>
      <c r="D541" s="101">
        <v>228680</v>
      </c>
      <c r="E541" s="202">
        <v>9</v>
      </c>
      <c r="F541" s="78">
        <f t="shared" si="37"/>
        <v>110929</v>
      </c>
      <c r="G541" s="79">
        <f t="shared" si="38"/>
        <v>109332</v>
      </c>
      <c r="H541" s="80">
        <v>100846</v>
      </c>
      <c r="I541" s="81">
        <v>95328</v>
      </c>
      <c r="J541" s="80">
        <v>4301</v>
      </c>
      <c r="K541" s="81">
        <v>5618</v>
      </c>
      <c r="L541" s="80">
        <v>5782</v>
      </c>
      <c r="M541" s="80">
        <v>0</v>
      </c>
      <c r="N541" s="80">
        <v>0</v>
      </c>
      <c r="O541" s="81">
        <v>8386</v>
      </c>
      <c r="P541" s="81">
        <v>0</v>
      </c>
      <c r="Q541" s="81">
        <v>0</v>
      </c>
      <c r="R541" s="80"/>
      <c r="S541" s="81"/>
      <c r="T541" s="78">
        <f t="shared" si="36"/>
        <v>0</v>
      </c>
      <c r="U541" s="79">
        <f t="shared" si="39"/>
        <v>0</v>
      </c>
      <c r="V541" s="80">
        <v>0</v>
      </c>
      <c r="W541" s="81">
        <v>0</v>
      </c>
      <c r="X541" s="80">
        <v>0</v>
      </c>
      <c r="Y541" s="81">
        <v>0</v>
      </c>
      <c r="Z541" s="80">
        <v>0</v>
      </c>
      <c r="AA541" s="80">
        <v>0</v>
      </c>
      <c r="AB541" s="80">
        <v>0</v>
      </c>
      <c r="AC541" s="81">
        <v>0</v>
      </c>
      <c r="AD541" s="81">
        <v>0</v>
      </c>
      <c r="AE541" s="81">
        <v>0</v>
      </c>
      <c r="AF541" s="80"/>
      <c r="AG541" s="81"/>
    </row>
    <row r="542" spans="1:33">
      <c r="A542" s="159" t="s">
        <v>577</v>
      </c>
      <c r="B542" s="99" t="s">
        <v>668</v>
      </c>
      <c r="C542" s="100"/>
      <c r="D542" s="101">
        <v>229504</v>
      </c>
      <c r="E542" s="200">
        <v>9</v>
      </c>
      <c r="F542" s="78">
        <f t="shared" si="37"/>
        <v>58630</v>
      </c>
      <c r="G542" s="79">
        <f t="shared" si="38"/>
        <v>59803</v>
      </c>
      <c r="H542" s="80">
        <v>8667</v>
      </c>
      <c r="I542" s="81">
        <v>8863</v>
      </c>
      <c r="J542" s="80">
        <v>29362</v>
      </c>
      <c r="K542" s="81">
        <v>30553</v>
      </c>
      <c r="L542" s="80">
        <v>17113</v>
      </c>
      <c r="M542" s="80">
        <v>3431</v>
      </c>
      <c r="N542" s="80">
        <v>57</v>
      </c>
      <c r="O542" s="81">
        <v>17075</v>
      </c>
      <c r="P542" s="81">
        <v>3273</v>
      </c>
      <c r="Q542" s="81">
        <v>39</v>
      </c>
      <c r="R542" s="80"/>
      <c r="S542" s="81"/>
      <c r="T542" s="78">
        <f t="shared" si="36"/>
        <v>0</v>
      </c>
      <c r="U542" s="79">
        <f t="shared" si="39"/>
        <v>0</v>
      </c>
      <c r="V542" s="80">
        <v>0</v>
      </c>
      <c r="W542" s="81">
        <v>0</v>
      </c>
      <c r="X542" s="80">
        <v>0</v>
      </c>
      <c r="Y542" s="81">
        <v>0</v>
      </c>
      <c r="Z542" s="80">
        <v>0</v>
      </c>
      <c r="AA542" s="80">
        <v>0</v>
      </c>
      <c r="AB542" s="80">
        <v>0</v>
      </c>
      <c r="AC542" s="81">
        <v>0</v>
      </c>
      <c r="AD542" s="81">
        <v>0</v>
      </c>
      <c r="AE542" s="81">
        <v>0</v>
      </c>
      <c r="AF542" s="80"/>
      <c r="AG542" s="81"/>
    </row>
    <row r="543" spans="1:33">
      <c r="A543" s="159" t="s">
        <v>577</v>
      </c>
      <c r="B543" s="99" t="s">
        <v>669</v>
      </c>
      <c r="C543" s="100"/>
      <c r="D543" s="101">
        <v>229540</v>
      </c>
      <c r="E543" s="101">
        <v>9</v>
      </c>
      <c r="F543" s="78">
        <f t="shared" si="37"/>
        <v>68422</v>
      </c>
      <c r="G543" s="79">
        <f t="shared" si="38"/>
        <v>70100</v>
      </c>
      <c r="H543" s="80">
        <v>44702</v>
      </c>
      <c r="I543" s="81">
        <v>45544</v>
      </c>
      <c r="J543" s="80">
        <v>4077</v>
      </c>
      <c r="K543" s="81">
        <v>3567</v>
      </c>
      <c r="L543" s="80">
        <v>16609</v>
      </c>
      <c r="M543" s="80">
        <v>3034</v>
      </c>
      <c r="N543" s="80">
        <v>0</v>
      </c>
      <c r="O543" s="81">
        <v>18096</v>
      </c>
      <c r="P543" s="81">
        <v>2893</v>
      </c>
      <c r="Q543" s="81">
        <v>0</v>
      </c>
      <c r="R543" s="80"/>
      <c r="S543" s="81"/>
      <c r="T543" s="78">
        <f t="shared" si="36"/>
        <v>0</v>
      </c>
      <c r="U543" s="79">
        <f t="shared" si="39"/>
        <v>0</v>
      </c>
      <c r="V543" s="80">
        <v>0</v>
      </c>
      <c r="W543" s="81">
        <v>0</v>
      </c>
      <c r="X543" s="80">
        <v>0</v>
      </c>
      <c r="Y543" s="81">
        <v>0</v>
      </c>
      <c r="Z543" s="80">
        <v>0</v>
      </c>
      <c r="AA543" s="80">
        <v>0</v>
      </c>
      <c r="AB543" s="80">
        <v>0</v>
      </c>
      <c r="AC543" s="81">
        <v>0</v>
      </c>
      <c r="AD543" s="81">
        <v>0</v>
      </c>
      <c r="AE543" s="81">
        <v>0</v>
      </c>
      <c r="AF543" s="80"/>
      <c r="AG543" s="81"/>
    </row>
    <row r="544" spans="1:33">
      <c r="A544" s="159" t="s">
        <v>577</v>
      </c>
      <c r="B544" s="99" t="s">
        <v>670</v>
      </c>
      <c r="C544" s="100"/>
      <c r="D544" s="101">
        <v>229799</v>
      </c>
      <c r="E544" s="101">
        <v>9</v>
      </c>
      <c r="F544" s="78">
        <f t="shared" si="37"/>
        <v>107472</v>
      </c>
      <c r="G544" s="79">
        <f t="shared" si="38"/>
        <v>114921</v>
      </c>
      <c r="H544" s="80">
        <v>59630</v>
      </c>
      <c r="I544" s="81">
        <v>61260</v>
      </c>
      <c r="J544" s="80">
        <v>13563</v>
      </c>
      <c r="K544" s="81">
        <v>15199</v>
      </c>
      <c r="L544" s="80">
        <v>33016</v>
      </c>
      <c r="M544" s="80">
        <v>906</v>
      </c>
      <c r="N544" s="80">
        <v>357</v>
      </c>
      <c r="O544" s="81">
        <v>37393</v>
      </c>
      <c r="P544" s="81">
        <v>765</v>
      </c>
      <c r="Q544" s="81">
        <v>304</v>
      </c>
      <c r="R544" s="80"/>
      <c r="S544" s="81"/>
      <c r="T544" s="78">
        <f t="shared" si="36"/>
        <v>0</v>
      </c>
      <c r="U544" s="79">
        <f t="shared" si="39"/>
        <v>0</v>
      </c>
      <c r="V544" s="80">
        <v>0</v>
      </c>
      <c r="W544" s="81">
        <v>0</v>
      </c>
      <c r="X544" s="80">
        <v>0</v>
      </c>
      <c r="Y544" s="81">
        <v>0</v>
      </c>
      <c r="Z544" s="80">
        <v>0</v>
      </c>
      <c r="AA544" s="80">
        <v>0</v>
      </c>
      <c r="AB544" s="80">
        <v>0</v>
      </c>
      <c r="AC544" s="81">
        <v>0</v>
      </c>
      <c r="AD544" s="81">
        <v>0</v>
      </c>
      <c r="AE544" s="81">
        <v>0</v>
      </c>
      <c r="AF544" s="80"/>
      <c r="AG544" s="81"/>
    </row>
    <row r="545" spans="1:33">
      <c r="A545" s="159" t="s">
        <v>577</v>
      </c>
      <c r="B545" s="99" t="s">
        <v>671</v>
      </c>
      <c r="C545" s="100"/>
      <c r="D545" s="101">
        <v>229841</v>
      </c>
      <c r="E545" s="101">
        <v>9</v>
      </c>
      <c r="F545" s="78">
        <f t="shared" si="37"/>
        <v>143334</v>
      </c>
      <c r="G545" s="79">
        <f t="shared" si="38"/>
        <v>142601</v>
      </c>
      <c r="H545" s="80">
        <v>33245</v>
      </c>
      <c r="I545" s="81">
        <v>34000</v>
      </c>
      <c r="J545" s="80">
        <v>82107</v>
      </c>
      <c r="K545" s="81">
        <v>82042</v>
      </c>
      <c r="L545" s="80">
        <v>25026</v>
      </c>
      <c r="M545" s="80">
        <v>2956</v>
      </c>
      <c r="N545" s="80">
        <v>0</v>
      </c>
      <c r="O545" s="81">
        <v>24287</v>
      </c>
      <c r="P545" s="81">
        <v>2272</v>
      </c>
      <c r="Q545" s="81">
        <v>0</v>
      </c>
      <c r="R545" s="80"/>
      <c r="S545" s="81"/>
      <c r="T545" s="78">
        <f t="shared" si="36"/>
        <v>0</v>
      </c>
      <c r="U545" s="79">
        <f t="shared" si="39"/>
        <v>0</v>
      </c>
      <c r="V545" s="80">
        <v>0</v>
      </c>
      <c r="W545" s="81">
        <v>0</v>
      </c>
      <c r="X545" s="80">
        <v>0</v>
      </c>
      <c r="Y545" s="81">
        <v>0</v>
      </c>
      <c r="Z545" s="80">
        <v>0</v>
      </c>
      <c r="AA545" s="80">
        <v>0</v>
      </c>
      <c r="AB545" s="80">
        <v>0</v>
      </c>
      <c r="AC545" s="81">
        <v>0</v>
      </c>
      <c r="AD545" s="81">
        <v>0</v>
      </c>
      <c r="AE545" s="81">
        <v>0</v>
      </c>
      <c r="AF545" s="80"/>
      <c r="AG545" s="81"/>
    </row>
    <row r="546" spans="1:33">
      <c r="A546" s="159" t="s">
        <v>577</v>
      </c>
      <c r="B546" s="99" t="s">
        <v>672</v>
      </c>
      <c r="C546" s="100"/>
      <c r="D546" s="101">
        <v>223922</v>
      </c>
      <c r="E546" s="101">
        <v>10</v>
      </c>
      <c r="F546" s="78">
        <f t="shared" si="37"/>
        <v>28964</v>
      </c>
      <c r="G546" s="79">
        <f t="shared" si="38"/>
        <v>30961</v>
      </c>
      <c r="H546" s="80">
        <v>9827</v>
      </c>
      <c r="I546" s="81">
        <v>10597</v>
      </c>
      <c r="J546" s="80">
        <v>9441</v>
      </c>
      <c r="K546" s="81">
        <v>10508</v>
      </c>
      <c r="L546" s="80">
        <v>8954</v>
      </c>
      <c r="M546" s="80">
        <v>742</v>
      </c>
      <c r="N546" s="80">
        <v>0</v>
      </c>
      <c r="O546" s="81">
        <v>9316</v>
      </c>
      <c r="P546" s="81">
        <v>540</v>
      </c>
      <c r="Q546" s="81">
        <v>0</v>
      </c>
      <c r="R546" s="80"/>
      <c r="S546" s="81"/>
      <c r="T546" s="78">
        <f t="shared" ref="T546:T559" si="40">SUM(V546,X545,Z546,AA546,AB546,AF546)</f>
        <v>0</v>
      </c>
      <c r="U546" s="79">
        <f t="shared" si="39"/>
        <v>0</v>
      </c>
      <c r="V546" s="80">
        <v>0</v>
      </c>
      <c r="W546" s="81">
        <v>0</v>
      </c>
      <c r="X546" s="80">
        <v>0</v>
      </c>
      <c r="Y546" s="81">
        <v>0</v>
      </c>
      <c r="Z546" s="80">
        <v>0</v>
      </c>
      <c r="AA546" s="80">
        <v>0</v>
      </c>
      <c r="AB546" s="80">
        <v>0</v>
      </c>
      <c r="AC546" s="81">
        <v>0</v>
      </c>
      <c r="AD546" s="81">
        <v>0</v>
      </c>
      <c r="AE546" s="81">
        <v>0</v>
      </c>
      <c r="AF546" s="80"/>
      <c r="AG546" s="81"/>
    </row>
    <row r="547" spans="1:33">
      <c r="A547" s="159" t="s">
        <v>577</v>
      </c>
      <c r="B547" s="99" t="s">
        <v>673</v>
      </c>
      <c r="C547" s="100"/>
      <c r="D547" s="101">
        <v>224891</v>
      </c>
      <c r="E547" s="101">
        <v>10</v>
      </c>
      <c r="F547" s="78">
        <f t="shared" si="37"/>
        <v>27725</v>
      </c>
      <c r="G547" s="79">
        <f t="shared" si="38"/>
        <v>26644</v>
      </c>
      <c r="H547" s="80">
        <v>16180</v>
      </c>
      <c r="I547" s="81">
        <v>14714</v>
      </c>
      <c r="J547" s="80">
        <v>3818</v>
      </c>
      <c r="K547" s="81">
        <v>3661</v>
      </c>
      <c r="L547" s="80">
        <v>2928</v>
      </c>
      <c r="M547" s="80">
        <v>51</v>
      </c>
      <c r="N547" s="80">
        <v>4748</v>
      </c>
      <c r="O547" s="81">
        <v>4964</v>
      </c>
      <c r="P547" s="81">
        <v>15</v>
      </c>
      <c r="Q547" s="81">
        <v>3290</v>
      </c>
      <c r="R547" s="80"/>
      <c r="S547" s="81"/>
      <c r="T547" s="78">
        <f t="shared" si="40"/>
        <v>0</v>
      </c>
      <c r="U547" s="79">
        <f t="shared" si="39"/>
        <v>0</v>
      </c>
      <c r="V547" s="80">
        <v>0</v>
      </c>
      <c r="W547" s="81">
        <v>0</v>
      </c>
      <c r="X547" s="80">
        <v>0</v>
      </c>
      <c r="Y547" s="81">
        <v>0</v>
      </c>
      <c r="Z547" s="80">
        <v>0</v>
      </c>
      <c r="AA547" s="80">
        <v>0</v>
      </c>
      <c r="AB547" s="80">
        <v>0</v>
      </c>
      <c r="AC547" s="81">
        <v>0</v>
      </c>
      <c r="AD547" s="81">
        <v>0</v>
      </c>
      <c r="AE547" s="81">
        <v>0</v>
      </c>
      <c r="AF547" s="80"/>
      <c r="AG547" s="81"/>
    </row>
    <row r="548" spans="1:33">
      <c r="A548" s="159" t="s">
        <v>577</v>
      </c>
      <c r="B548" s="99" t="s">
        <v>674</v>
      </c>
      <c r="C548" s="100"/>
      <c r="D548" s="101">
        <v>224961</v>
      </c>
      <c r="E548" s="101">
        <v>10</v>
      </c>
      <c r="F548" s="78">
        <f t="shared" si="37"/>
        <v>41820</v>
      </c>
      <c r="G548" s="79">
        <f t="shared" si="38"/>
        <v>42153</v>
      </c>
      <c r="H548" s="80">
        <v>26419</v>
      </c>
      <c r="I548" s="81">
        <v>25147</v>
      </c>
      <c r="J548" s="80">
        <v>186</v>
      </c>
      <c r="K548" s="81">
        <v>165</v>
      </c>
      <c r="L548" s="80">
        <v>15215</v>
      </c>
      <c r="M548" s="80">
        <v>0</v>
      </c>
      <c r="N548" s="80">
        <v>0</v>
      </c>
      <c r="O548" s="81">
        <v>16841</v>
      </c>
      <c r="P548" s="81">
        <v>0</v>
      </c>
      <c r="Q548" s="81">
        <v>0</v>
      </c>
      <c r="R548" s="80"/>
      <c r="S548" s="81"/>
      <c r="T548" s="78">
        <f t="shared" si="40"/>
        <v>0</v>
      </c>
      <c r="U548" s="79">
        <f t="shared" si="39"/>
        <v>0</v>
      </c>
      <c r="V548" s="80">
        <v>0</v>
      </c>
      <c r="W548" s="81">
        <v>0</v>
      </c>
      <c r="X548" s="80">
        <v>0</v>
      </c>
      <c r="Y548" s="81">
        <v>0</v>
      </c>
      <c r="Z548" s="80">
        <v>0</v>
      </c>
      <c r="AA548" s="80">
        <v>0</v>
      </c>
      <c r="AB548" s="80">
        <v>0</v>
      </c>
      <c r="AC548" s="81">
        <v>0</v>
      </c>
      <c r="AD548" s="81">
        <v>0</v>
      </c>
      <c r="AE548" s="81">
        <v>0</v>
      </c>
      <c r="AF548" s="80"/>
      <c r="AG548" s="81"/>
    </row>
    <row r="549" spans="1:33">
      <c r="A549" s="159" t="s">
        <v>577</v>
      </c>
      <c r="B549" s="99" t="s">
        <v>675</v>
      </c>
      <c r="C549" s="100"/>
      <c r="D549" s="101">
        <v>226107</v>
      </c>
      <c r="E549" s="200">
        <v>10</v>
      </c>
      <c r="F549" s="78">
        <f t="shared" si="37"/>
        <v>45710</v>
      </c>
      <c r="G549" s="79">
        <f t="shared" si="38"/>
        <v>44527</v>
      </c>
      <c r="H549" s="80">
        <v>30151</v>
      </c>
      <c r="I549" s="81">
        <v>28975</v>
      </c>
      <c r="J549" s="80">
        <v>1891</v>
      </c>
      <c r="K549" s="81">
        <v>435</v>
      </c>
      <c r="L549" s="80">
        <v>13668</v>
      </c>
      <c r="M549" s="80">
        <v>0</v>
      </c>
      <c r="N549" s="80">
        <v>0</v>
      </c>
      <c r="O549" s="81">
        <v>15117</v>
      </c>
      <c r="P549" s="81">
        <v>0</v>
      </c>
      <c r="Q549" s="81">
        <v>0</v>
      </c>
      <c r="R549" s="80"/>
      <c r="S549" s="81"/>
      <c r="T549" s="78">
        <f t="shared" si="40"/>
        <v>0</v>
      </c>
      <c r="U549" s="79">
        <f t="shared" si="39"/>
        <v>0</v>
      </c>
      <c r="V549" s="80">
        <v>0</v>
      </c>
      <c r="W549" s="81">
        <v>0</v>
      </c>
      <c r="X549" s="80">
        <v>0</v>
      </c>
      <c r="Y549" s="81">
        <v>0</v>
      </c>
      <c r="Z549" s="80">
        <v>0</v>
      </c>
      <c r="AA549" s="80">
        <v>0</v>
      </c>
      <c r="AB549" s="80">
        <v>0</v>
      </c>
      <c r="AC549" s="81">
        <v>0</v>
      </c>
      <c r="AD549" s="81">
        <v>0</v>
      </c>
      <c r="AE549" s="81">
        <v>0</v>
      </c>
      <c r="AF549" s="80"/>
      <c r="AG549" s="81"/>
    </row>
    <row r="550" spans="1:33">
      <c r="A550" s="159" t="s">
        <v>577</v>
      </c>
      <c r="B550" s="99" t="s">
        <v>676</v>
      </c>
      <c r="C550" s="100"/>
      <c r="D550" s="197">
        <v>488730</v>
      </c>
      <c r="E550" s="200">
        <v>10</v>
      </c>
      <c r="F550" s="78">
        <f t="shared" si="37"/>
        <v>55613</v>
      </c>
      <c r="G550" s="79">
        <f t="shared" si="38"/>
        <v>55857</v>
      </c>
      <c r="H550" s="80">
        <v>44078</v>
      </c>
      <c r="I550" s="81">
        <v>45414</v>
      </c>
      <c r="J550" s="80">
        <v>0</v>
      </c>
      <c r="K550" s="81">
        <v>0</v>
      </c>
      <c r="L550" s="80">
        <v>11535</v>
      </c>
      <c r="M550" s="80">
        <v>0</v>
      </c>
      <c r="N550" s="80">
        <v>0</v>
      </c>
      <c r="O550" s="81">
        <v>10443</v>
      </c>
      <c r="P550" s="81">
        <v>0</v>
      </c>
      <c r="Q550" s="81">
        <v>0</v>
      </c>
      <c r="R550" s="80"/>
      <c r="S550" s="81"/>
      <c r="T550" s="78">
        <f t="shared" si="40"/>
        <v>0</v>
      </c>
      <c r="U550" s="79">
        <f t="shared" si="39"/>
        <v>0</v>
      </c>
      <c r="V550" s="80">
        <v>0</v>
      </c>
      <c r="W550" s="81">
        <v>0</v>
      </c>
      <c r="X550" s="80">
        <v>0</v>
      </c>
      <c r="Y550" s="81">
        <v>0</v>
      </c>
      <c r="Z550" s="80">
        <v>0</v>
      </c>
      <c r="AA550" s="80">
        <v>0</v>
      </c>
      <c r="AB550" s="80">
        <v>0</v>
      </c>
      <c r="AC550" s="81">
        <v>0</v>
      </c>
      <c r="AD550" s="81">
        <v>0</v>
      </c>
      <c r="AE550" s="81">
        <v>0</v>
      </c>
      <c r="AF550" s="80"/>
      <c r="AG550" s="81"/>
    </row>
    <row r="551" spans="1:33">
      <c r="A551" s="159" t="s">
        <v>577</v>
      </c>
      <c r="B551" s="99" t="s">
        <v>677</v>
      </c>
      <c r="C551" s="100"/>
      <c r="D551" s="101">
        <v>227386</v>
      </c>
      <c r="E551" s="101">
        <v>10</v>
      </c>
      <c r="F551" s="78">
        <f t="shared" si="37"/>
        <v>57116</v>
      </c>
      <c r="G551" s="79">
        <f t="shared" si="38"/>
        <v>57184</v>
      </c>
      <c r="H551" s="80">
        <v>22515</v>
      </c>
      <c r="I551" s="81">
        <v>23042</v>
      </c>
      <c r="J551" s="80">
        <v>7538</v>
      </c>
      <c r="K551" s="81">
        <v>6949</v>
      </c>
      <c r="L551" s="80">
        <v>26189</v>
      </c>
      <c r="M551" s="80">
        <v>874</v>
      </c>
      <c r="N551" s="80">
        <v>0</v>
      </c>
      <c r="O551" s="81">
        <v>26638</v>
      </c>
      <c r="P551" s="81">
        <v>555</v>
      </c>
      <c r="Q551" s="81">
        <v>0</v>
      </c>
      <c r="R551" s="80"/>
      <c r="S551" s="81"/>
      <c r="T551" s="78">
        <f t="shared" si="40"/>
        <v>0</v>
      </c>
      <c r="U551" s="79">
        <f t="shared" si="39"/>
        <v>0</v>
      </c>
      <c r="V551" s="80">
        <v>0</v>
      </c>
      <c r="W551" s="81">
        <v>0</v>
      </c>
      <c r="X551" s="80">
        <v>0</v>
      </c>
      <c r="Y551" s="81">
        <v>0</v>
      </c>
      <c r="Z551" s="80">
        <v>0</v>
      </c>
      <c r="AA551" s="80">
        <v>0</v>
      </c>
      <c r="AB551" s="80">
        <v>0</v>
      </c>
      <c r="AC551" s="81">
        <v>0</v>
      </c>
      <c r="AD551" s="81">
        <v>0</v>
      </c>
      <c r="AE551" s="81">
        <v>0</v>
      </c>
      <c r="AF551" s="80"/>
      <c r="AG551" s="81"/>
    </row>
    <row r="552" spans="1:33">
      <c r="A552" s="159" t="s">
        <v>577</v>
      </c>
      <c r="B552" s="99" t="s">
        <v>678</v>
      </c>
      <c r="C552" s="100"/>
      <c r="D552" s="101">
        <v>227687</v>
      </c>
      <c r="E552" s="101">
        <v>10</v>
      </c>
      <c r="F552" s="78">
        <f t="shared" si="37"/>
        <v>45356</v>
      </c>
      <c r="G552" s="79">
        <f t="shared" si="38"/>
        <v>47436</v>
      </c>
      <c r="H552" s="80">
        <v>11274</v>
      </c>
      <c r="I552" s="81">
        <v>10374</v>
      </c>
      <c r="J552" s="80">
        <v>17950</v>
      </c>
      <c r="K552" s="81">
        <v>18790</v>
      </c>
      <c r="L552" s="80">
        <v>13214</v>
      </c>
      <c r="M552" s="80">
        <v>2902</v>
      </c>
      <c r="N552" s="80">
        <v>16</v>
      </c>
      <c r="O552" s="81">
        <v>15068</v>
      </c>
      <c r="P552" s="81">
        <v>3074</v>
      </c>
      <c r="Q552" s="81">
        <v>130</v>
      </c>
      <c r="R552" s="80"/>
      <c r="S552" s="81"/>
      <c r="T552" s="78">
        <f t="shared" si="40"/>
        <v>0</v>
      </c>
      <c r="U552" s="79">
        <f t="shared" si="39"/>
        <v>0</v>
      </c>
      <c r="V552" s="80">
        <v>0</v>
      </c>
      <c r="W552" s="81">
        <v>0</v>
      </c>
      <c r="X552" s="80">
        <v>0</v>
      </c>
      <c r="Y552" s="81">
        <v>0</v>
      </c>
      <c r="Z552" s="80">
        <v>0</v>
      </c>
      <c r="AA552" s="80">
        <v>0</v>
      </c>
      <c r="AB552" s="80">
        <v>0</v>
      </c>
      <c r="AC552" s="81">
        <v>0</v>
      </c>
      <c r="AD552" s="81">
        <v>0</v>
      </c>
      <c r="AE552" s="81">
        <v>0</v>
      </c>
      <c r="AF552" s="80"/>
      <c r="AG552" s="81"/>
    </row>
    <row r="553" spans="1:33">
      <c r="A553" s="159" t="s">
        <v>577</v>
      </c>
      <c r="B553" s="99" t="s">
        <v>679</v>
      </c>
      <c r="C553" s="100"/>
      <c r="D553" s="101">
        <v>382911</v>
      </c>
      <c r="E553" s="101">
        <v>10</v>
      </c>
      <c r="F553" s="78">
        <f t="shared" si="37"/>
        <v>2223</v>
      </c>
      <c r="G553" s="79">
        <f t="shared" si="38"/>
        <v>2095</v>
      </c>
      <c r="H553" s="80">
        <v>2038</v>
      </c>
      <c r="I553" s="81">
        <v>1840</v>
      </c>
      <c r="J553" s="80">
        <v>36</v>
      </c>
      <c r="K553" s="81">
        <v>105</v>
      </c>
      <c r="L553" s="80">
        <v>0</v>
      </c>
      <c r="M553" s="80">
        <v>149</v>
      </c>
      <c r="N553" s="80">
        <v>0</v>
      </c>
      <c r="O553" s="81">
        <v>9</v>
      </c>
      <c r="P553" s="81">
        <v>141</v>
      </c>
      <c r="Q553" s="81">
        <v>0</v>
      </c>
      <c r="R553" s="80"/>
      <c r="S553" s="81"/>
      <c r="T553" s="78">
        <f t="shared" si="40"/>
        <v>0</v>
      </c>
      <c r="U553" s="79">
        <f t="shared" si="39"/>
        <v>0</v>
      </c>
      <c r="V553" s="80">
        <v>0</v>
      </c>
      <c r="W553" s="81">
        <v>0</v>
      </c>
      <c r="X553" s="80">
        <v>0</v>
      </c>
      <c r="Y553" s="81">
        <v>0</v>
      </c>
      <c r="Z553" s="80">
        <v>0</v>
      </c>
      <c r="AA553" s="80">
        <v>0</v>
      </c>
      <c r="AB553" s="80">
        <v>0</v>
      </c>
      <c r="AC553" s="81">
        <v>0</v>
      </c>
      <c r="AD553" s="81">
        <v>0</v>
      </c>
      <c r="AE553" s="81">
        <v>0</v>
      </c>
      <c r="AF553" s="80"/>
      <c r="AG553" s="81"/>
    </row>
    <row r="554" spans="1:33">
      <c r="A554" s="159" t="s">
        <v>577</v>
      </c>
      <c r="B554" s="99" t="s">
        <v>680</v>
      </c>
      <c r="C554" s="100"/>
      <c r="D554" s="101">
        <v>408394</v>
      </c>
      <c r="E554" s="101">
        <v>10</v>
      </c>
      <c r="F554" s="78">
        <f t="shared" si="37"/>
        <v>20976</v>
      </c>
      <c r="G554" s="79">
        <f t="shared" si="38"/>
        <v>17266</v>
      </c>
      <c r="H554" s="80">
        <v>13949</v>
      </c>
      <c r="I554" s="81">
        <v>12021</v>
      </c>
      <c r="J554" s="80">
        <v>2360</v>
      </c>
      <c r="K554" s="81">
        <v>955</v>
      </c>
      <c r="L554" s="80">
        <v>4667</v>
      </c>
      <c r="M554" s="80">
        <v>0</v>
      </c>
      <c r="N554" s="80">
        <v>0</v>
      </c>
      <c r="O554" s="81">
        <v>4290</v>
      </c>
      <c r="P554" s="81">
        <v>0</v>
      </c>
      <c r="Q554" s="81">
        <v>0</v>
      </c>
      <c r="R554" s="80"/>
      <c r="S554" s="81"/>
      <c r="T554" s="78">
        <f t="shared" si="40"/>
        <v>0</v>
      </c>
      <c r="U554" s="79">
        <f t="shared" si="39"/>
        <v>0</v>
      </c>
      <c r="V554" s="80">
        <v>0</v>
      </c>
      <c r="W554" s="81">
        <v>0</v>
      </c>
      <c r="X554" s="80">
        <v>0</v>
      </c>
      <c r="Y554" s="81">
        <v>0</v>
      </c>
      <c r="Z554" s="80">
        <v>0</v>
      </c>
      <c r="AA554" s="80">
        <v>0</v>
      </c>
      <c r="AB554" s="80">
        <v>0</v>
      </c>
      <c r="AC554" s="81">
        <v>0</v>
      </c>
      <c r="AD554" s="81">
        <v>0</v>
      </c>
      <c r="AE554" s="81">
        <v>0</v>
      </c>
      <c r="AF554" s="80"/>
      <c r="AG554" s="81"/>
    </row>
    <row r="555" spans="1:33">
      <c r="A555" s="159" t="s">
        <v>577</v>
      </c>
      <c r="B555" s="99" t="s">
        <v>681</v>
      </c>
      <c r="C555" s="100"/>
      <c r="D555" s="101">
        <v>229328</v>
      </c>
      <c r="E555" s="200">
        <v>10</v>
      </c>
      <c r="F555" s="78">
        <f t="shared" si="37"/>
        <v>27876</v>
      </c>
      <c r="G555" s="79">
        <f t="shared" si="38"/>
        <v>30125</v>
      </c>
      <c r="H555" s="80">
        <v>5500</v>
      </c>
      <c r="I555" s="81">
        <v>8788</v>
      </c>
      <c r="J555" s="80">
        <v>5286</v>
      </c>
      <c r="K555" s="81">
        <v>7703</v>
      </c>
      <c r="L555" s="80">
        <v>17090</v>
      </c>
      <c r="M555" s="80">
        <v>0</v>
      </c>
      <c r="N555" s="80">
        <v>0</v>
      </c>
      <c r="O555" s="81">
        <v>13634</v>
      </c>
      <c r="P555" s="81">
        <v>0</v>
      </c>
      <c r="Q555" s="81">
        <v>0</v>
      </c>
      <c r="R555" s="80"/>
      <c r="S555" s="81"/>
      <c r="T555" s="78">
        <f t="shared" si="40"/>
        <v>0</v>
      </c>
      <c r="U555" s="79">
        <f t="shared" si="39"/>
        <v>0</v>
      </c>
      <c r="V555" s="80">
        <v>0</v>
      </c>
      <c r="W555" s="81">
        <v>0</v>
      </c>
      <c r="X555" s="80">
        <v>0</v>
      </c>
      <c r="Y555" s="81">
        <v>0</v>
      </c>
      <c r="Z555" s="80">
        <v>0</v>
      </c>
      <c r="AA555" s="80">
        <v>0</v>
      </c>
      <c r="AB555" s="80">
        <v>0</v>
      </c>
      <c r="AC555" s="81">
        <v>0</v>
      </c>
      <c r="AD555" s="81">
        <v>0</v>
      </c>
      <c r="AE555" s="81">
        <v>0</v>
      </c>
      <c r="AF555" s="80"/>
      <c r="AG555" s="81"/>
    </row>
    <row r="556" spans="1:33">
      <c r="A556" s="159" t="s">
        <v>577</v>
      </c>
      <c r="B556" s="99" t="s">
        <v>682</v>
      </c>
      <c r="C556" s="100"/>
      <c r="D556" s="101">
        <v>229832</v>
      </c>
      <c r="E556" s="101">
        <v>10</v>
      </c>
      <c r="F556" s="78">
        <f t="shared" si="37"/>
        <v>45744</v>
      </c>
      <c r="G556" s="79">
        <f t="shared" si="38"/>
        <v>45765</v>
      </c>
      <c r="H556" s="80">
        <v>12341</v>
      </c>
      <c r="I556" s="81">
        <v>13053</v>
      </c>
      <c r="J556" s="80">
        <v>6992</v>
      </c>
      <c r="K556" s="81">
        <v>5093</v>
      </c>
      <c r="L556" s="80">
        <v>22963</v>
      </c>
      <c r="M556" s="80">
        <v>3312</v>
      </c>
      <c r="N556" s="80">
        <v>136</v>
      </c>
      <c r="O556" s="81">
        <v>25234</v>
      </c>
      <c r="P556" s="81">
        <v>2385</v>
      </c>
      <c r="Q556" s="81">
        <v>0</v>
      </c>
      <c r="R556" s="80"/>
      <c r="S556" s="81"/>
      <c r="T556" s="78">
        <f t="shared" si="40"/>
        <v>0</v>
      </c>
      <c r="U556" s="79">
        <f t="shared" si="39"/>
        <v>0</v>
      </c>
      <c r="V556" s="80">
        <v>0</v>
      </c>
      <c r="W556" s="81">
        <v>0</v>
      </c>
      <c r="X556" s="80">
        <v>0</v>
      </c>
      <c r="Y556" s="81">
        <v>0</v>
      </c>
      <c r="Z556" s="80">
        <v>0</v>
      </c>
      <c r="AA556" s="80">
        <v>0</v>
      </c>
      <c r="AB556" s="80">
        <v>0</v>
      </c>
      <c r="AC556" s="81">
        <v>0</v>
      </c>
      <c r="AD556" s="81">
        <v>0</v>
      </c>
      <c r="AE556" s="81">
        <v>0</v>
      </c>
      <c r="AF556" s="80"/>
      <c r="AG556" s="81"/>
    </row>
    <row r="557" spans="1:33">
      <c r="A557" s="159" t="s">
        <v>577</v>
      </c>
      <c r="B557" s="99" t="s">
        <v>683</v>
      </c>
      <c r="C557" s="100" t="s">
        <v>684</v>
      </c>
      <c r="D557" s="101">
        <v>443711</v>
      </c>
      <c r="E557" s="101">
        <v>10</v>
      </c>
      <c r="F557" s="78">
        <f t="shared" si="37"/>
        <v>50174</v>
      </c>
      <c r="G557" s="79">
        <f t="shared" si="38"/>
        <v>61641</v>
      </c>
      <c r="H557" s="80">
        <v>25224</v>
      </c>
      <c r="I557" s="81">
        <v>32032</v>
      </c>
      <c r="J557" s="80">
        <v>57</v>
      </c>
      <c r="K557" s="81">
        <v>15</v>
      </c>
      <c r="L557" s="80">
        <v>24893</v>
      </c>
      <c r="M557" s="80">
        <v>0</v>
      </c>
      <c r="N557" s="80">
        <v>0</v>
      </c>
      <c r="O557" s="81">
        <v>29594</v>
      </c>
      <c r="P557" s="81">
        <v>0</v>
      </c>
      <c r="Q557" s="81">
        <v>0</v>
      </c>
      <c r="R557" s="80"/>
      <c r="S557" s="81"/>
      <c r="T557" s="78">
        <f t="shared" si="40"/>
        <v>5690</v>
      </c>
      <c r="U557" s="79">
        <f t="shared" si="39"/>
        <v>16175</v>
      </c>
      <c r="V557" s="80">
        <v>1572</v>
      </c>
      <c r="W557" s="81">
        <v>2256</v>
      </c>
      <c r="X557" s="80">
        <v>9061</v>
      </c>
      <c r="Y557" s="81">
        <v>9810</v>
      </c>
      <c r="Z557" s="80">
        <v>4118</v>
      </c>
      <c r="AA557" s="80">
        <v>0</v>
      </c>
      <c r="AB557" s="80">
        <v>0</v>
      </c>
      <c r="AC557" s="81">
        <v>4109</v>
      </c>
      <c r="AD557" s="81">
        <v>0</v>
      </c>
      <c r="AE557" s="81">
        <v>0</v>
      </c>
      <c r="AF557" s="80"/>
      <c r="AG557" s="81"/>
    </row>
    <row r="558" spans="1:33">
      <c r="A558" s="159" t="s">
        <v>577</v>
      </c>
      <c r="B558" s="195" t="s">
        <v>685</v>
      </c>
      <c r="C558" s="100" t="s">
        <v>686</v>
      </c>
      <c r="D558" s="197" t="s">
        <v>691</v>
      </c>
      <c r="E558" s="101">
        <v>10</v>
      </c>
      <c r="F558" s="78">
        <f t="shared" si="37"/>
        <v>2566</v>
      </c>
      <c r="G558" s="79">
        <f t="shared" si="38"/>
        <v>6008</v>
      </c>
      <c r="H558" s="80">
        <v>0</v>
      </c>
      <c r="I558" s="81">
        <v>0</v>
      </c>
      <c r="J558" s="80">
        <v>1273</v>
      </c>
      <c r="K558" s="81">
        <v>2323</v>
      </c>
      <c r="L558" s="80">
        <v>1293</v>
      </c>
      <c r="M558" s="80">
        <v>0</v>
      </c>
      <c r="N558" s="80">
        <v>0</v>
      </c>
      <c r="O558" s="81">
        <v>3685</v>
      </c>
      <c r="P558" s="81">
        <v>0</v>
      </c>
      <c r="Q558" s="81">
        <v>0</v>
      </c>
      <c r="R558" s="80"/>
      <c r="S558" s="81"/>
      <c r="T558" s="78">
        <f t="shared" si="40"/>
        <v>9061</v>
      </c>
      <c r="U558" s="79">
        <f t="shared" si="39"/>
        <v>0</v>
      </c>
      <c r="V558" s="80">
        <v>0</v>
      </c>
      <c r="W558" s="81">
        <v>0</v>
      </c>
      <c r="X558" s="80">
        <v>0</v>
      </c>
      <c r="Y558" s="81">
        <v>0</v>
      </c>
      <c r="Z558" s="80">
        <v>0</v>
      </c>
      <c r="AA558" s="80">
        <v>0</v>
      </c>
      <c r="AB558" s="80">
        <v>0</v>
      </c>
      <c r="AC558" s="81">
        <v>0</v>
      </c>
      <c r="AD558" s="81">
        <v>0</v>
      </c>
      <c r="AE558" s="81">
        <v>0</v>
      </c>
      <c r="AF558" s="80"/>
      <c r="AG558" s="81"/>
    </row>
    <row r="559" spans="1:33">
      <c r="A559" s="159" t="s">
        <v>577</v>
      </c>
      <c r="B559" s="195" t="s">
        <v>687</v>
      </c>
      <c r="C559" s="100" t="s">
        <v>686</v>
      </c>
      <c r="D559" s="197" t="s">
        <v>691</v>
      </c>
      <c r="E559" s="101">
        <v>10</v>
      </c>
      <c r="F559" s="78">
        <f t="shared" si="37"/>
        <v>2830</v>
      </c>
      <c r="G559" s="79">
        <f t="shared" si="38"/>
        <v>9537</v>
      </c>
      <c r="H559" s="80">
        <v>2830</v>
      </c>
      <c r="I559" s="81">
        <v>7681</v>
      </c>
      <c r="J559" s="80">
        <v>0</v>
      </c>
      <c r="K559" s="81">
        <v>0</v>
      </c>
      <c r="L559" s="80">
        <v>0</v>
      </c>
      <c r="M559" s="80">
        <v>0</v>
      </c>
      <c r="N559" s="80">
        <v>0</v>
      </c>
      <c r="O559" s="81">
        <v>1856</v>
      </c>
      <c r="P559" s="81">
        <v>0</v>
      </c>
      <c r="Q559" s="81">
        <v>0</v>
      </c>
      <c r="R559" s="80"/>
      <c r="S559" s="81"/>
      <c r="T559" s="78">
        <f t="shared" si="40"/>
        <v>0</v>
      </c>
      <c r="U559" s="79">
        <f t="shared" si="39"/>
        <v>0</v>
      </c>
      <c r="V559" s="80">
        <v>0</v>
      </c>
      <c r="W559" s="81">
        <v>0</v>
      </c>
      <c r="X559" s="80">
        <v>0</v>
      </c>
      <c r="Y559" s="81">
        <v>0</v>
      </c>
      <c r="Z559" s="80">
        <v>0</v>
      </c>
      <c r="AA559" s="80">
        <v>0</v>
      </c>
      <c r="AB559" s="80">
        <v>0</v>
      </c>
      <c r="AC559" s="81">
        <v>0</v>
      </c>
      <c r="AD559" s="81">
        <v>0</v>
      </c>
      <c r="AE559" s="81">
        <v>0</v>
      </c>
      <c r="AF559" s="80"/>
      <c r="AG559" s="81"/>
    </row>
    <row r="560" spans="1:33" s="44" customFormat="1" ht="13.5" customHeight="1">
      <c r="A560" s="102" t="s">
        <v>692</v>
      </c>
      <c r="B560" s="103" t="s">
        <v>693</v>
      </c>
      <c r="C560" s="104"/>
      <c r="D560" s="105">
        <v>232186</v>
      </c>
      <c r="E560" s="105">
        <v>1</v>
      </c>
      <c r="F560" s="78">
        <f t="shared" si="37"/>
        <v>664410.5</v>
      </c>
      <c r="G560" s="79">
        <f t="shared" si="38"/>
        <v>694269</v>
      </c>
      <c r="H560" s="80">
        <v>580186</v>
      </c>
      <c r="I560" s="81">
        <v>598291</v>
      </c>
      <c r="J560" s="80">
        <v>16411.5</v>
      </c>
      <c r="K560" s="81">
        <v>15954</v>
      </c>
      <c r="L560" s="80">
        <v>63494</v>
      </c>
      <c r="M560" s="80">
        <v>4319</v>
      </c>
      <c r="N560" s="80">
        <v>0</v>
      </c>
      <c r="O560" s="81">
        <v>75611</v>
      </c>
      <c r="P560" s="81">
        <v>4413</v>
      </c>
      <c r="Q560" s="81"/>
      <c r="R560" s="80"/>
      <c r="S560" s="81"/>
      <c r="T560" s="78">
        <f t="shared" ref="T560:T623" si="41">SUM(V560,X560,Z560,AA560,AB560,AF560)</f>
        <v>163197.29999999999</v>
      </c>
      <c r="U560" s="79">
        <f t="shared" si="39"/>
        <v>166655</v>
      </c>
      <c r="V560" s="80">
        <v>123276.3</v>
      </c>
      <c r="W560" s="81">
        <v>121763</v>
      </c>
      <c r="X560" s="80">
        <v>16771.5</v>
      </c>
      <c r="Y560" s="81">
        <v>17736</v>
      </c>
      <c r="Z560" s="80">
        <v>17321.5</v>
      </c>
      <c r="AA560" s="80">
        <v>5828</v>
      </c>
      <c r="AB560" s="80">
        <v>0</v>
      </c>
      <c r="AC560" s="81">
        <v>21684.5</v>
      </c>
      <c r="AD560" s="81">
        <v>5471.5</v>
      </c>
      <c r="AE560" s="81"/>
      <c r="AF560" s="80"/>
      <c r="AG560" s="81"/>
    </row>
    <row r="561" spans="1:33">
      <c r="A561" s="102" t="s">
        <v>692</v>
      </c>
      <c r="B561" s="103" t="s">
        <v>694</v>
      </c>
      <c r="C561" s="104"/>
      <c r="D561" s="105">
        <v>232982</v>
      </c>
      <c r="E561" s="105">
        <v>1</v>
      </c>
      <c r="F561" s="78">
        <f t="shared" si="37"/>
        <v>522046</v>
      </c>
      <c r="G561" s="79">
        <f t="shared" si="38"/>
        <v>514112</v>
      </c>
      <c r="H561" s="80">
        <v>402965</v>
      </c>
      <c r="I561" s="81">
        <v>379205</v>
      </c>
      <c r="J561" s="80">
        <v>600</v>
      </c>
      <c r="K561" s="81">
        <v>123</v>
      </c>
      <c r="L561" s="80">
        <v>95460</v>
      </c>
      <c r="M561" s="80">
        <v>22748</v>
      </c>
      <c r="N561" s="80">
        <v>273</v>
      </c>
      <c r="O561" s="81">
        <v>113591</v>
      </c>
      <c r="P561" s="81">
        <v>20957</v>
      </c>
      <c r="Q561" s="81">
        <v>236</v>
      </c>
      <c r="R561" s="80"/>
      <c r="S561" s="81"/>
      <c r="T561" s="78">
        <f t="shared" si="41"/>
        <v>66269</v>
      </c>
      <c r="U561" s="79">
        <f t="shared" si="39"/>
        <v>68109</v>
      </c>
      <c r="V561" s="80">
        <v>35786</v>
      </c>
      <c r="W561" s="81">
        <v>34404</v>
      </c>
      <c r="X561" s="80">
        <v>682</v>
      </c>
      <c r="Y561" s="81">
        <v>400</v>
      </c>
      <c r="Z561" s="80">
        <v>16174</v>
      </c>
      <c r="AA561" s="80">
        <v>11237</v>
      </c>
      <c r="AB561" s="80">
        <v>2390</v>
      </c>
      <c r="AC561" s="81">
        <v>19348</v>
      </c>
      <c r="AD561" s="81">
        <v>11664</v>
      </c>
      <c r="AE561" s="81">
        <v>2293</v>
      </c>
      <c r="AF561" s="80"/>
      <c r="AG561" s="81"/>
    </row>
    <row r="562" spans="1:33">
      <c r="A562" s="102" t="s">
        <v>692</v>
      </c>
      <c r="B562" s="103" t="s">
        <v>695</v>
      </c>
      <c r="C562" s="104"/>
      <c r="D562" s="105">
        <v>234076</v>
      </c>
      <c r="E562" s="105">
        <v>1</v>
      </c>
      <c r="F562" s="78">
        <f t="shared" si="37"/>
        <v>490977</v>
      </c>
      <c r="G562" s="79">
        <f t="shared" si="38"/>
        <v>490976.5</v>
      </c>
      <c r="H562" s="80">
        <v>461361</v>
      </c>
      <c r="I562" s="81">
        <v>467098.5</v>
      </c>
      <c r="J562" s="80">
        <v>23703</v>
      </c>
      <c r="K562" s="81">
        <v>17081</v>
      </c>
      <c r="L562" s="80">
        <v>5022</v>
      </c>
      <c r="M562" s="80">
        <v>891</v>
      </c>
      <c r="N562" s="80">
        <v>0</v>
      </c>
      <c r="O562" s="81">
        <v>5789</v>
      </c>
      <c r="P562" s="81">
        <v>1008</v>
      </c>
      <c r="Q562" s="81"/>
      <c r="R562" s="80"/>
      <c r="S562" s="81"/>
      <c r="T562" s="78">
        <f t="shared" si="41"/>
        <v>182309</v>
      </c>
      <c r="U562" s="79">
        <f t="shared" si="39"/>
        <v>189753.5</v>
      </c>
      <c r="V562" s="80">
        <v>164835</v>
      </c>
      <c r="W562" s="81">
        <v>169051</v>
      </c>
      <c r="X562" s="80">
        <v>7889.5</v>
      </c>
      <c r="Y562" s="81">
        <v>10212</v>
      </c>
      <c r="Z562" s="80">
        <v>8411.5</v>
      </c>
      <c r="AA562" s="80">
        <v>1173</v>
      </c>
      <c r="AB562" s="80">
        <v>0</v>
      </c>
      <c r="AC562" s="81">
        <v>9147</v>
      </c>
      <c r="AD562" s="81">
        <v>1343.5</v>
      </c>
      <c r="AE562" s="81"/>
      <c r="AF562" s="80"/>
      <c r="AG562" s="81"/>
    </row>
    <row r="563" spans="1:33">
      <c r="A563" s="102" t="s">
        <v>692</v>
      </c>
      <c r="B563" s="103" t="s">
        <v>696</v>
      </c>
      <c r="C563" s="108"/>
      <c r="D563" s="105">
        <v>234030</v>
      </c>
      <c r="E563" s="105">
        <v>1</v>
      </c>
      <c r="F563" s="78">
        <f t="shared" si="37"/>
        <v>656069</v>
      </c>
      <c r="G563" s="79">
        <f t="shared" si="38"/>
        <v>653057</v>
      </c>
      <c r="H563" s="80">
        <v>597274</v>
      </c>
      <c r="I563" s="81">
        <v>587135</v>
      </c>
      <c r="J563" s="80">
        <v>7031</v>
      </c>
      <c r="K563" s="81">
        <v>8343</v>
      </c>
      <c r="L563" s="80">
        <v>51359</v>
      </c>
      <c r="M563" s="80">
        <v>405</v>
      </c>
      <c r="N563" s="80">
        <v>0</v>
      </c>
      <c r="O563" s="81">
        <v>56796</v>
      </c>
      <c r="P563" s="81">
        <v>783</v>
      </c>
      <c r="Q563" s="81"/>
      <c r="R563" s="80"/>
      <c r="S563" s="81"/>
      <c r="T563" s="78">
        <f t="shared" si="41"/>
        <v>132818</v>
      </c>
      <c r="U563" s="79">
        <f t="shared" si="39"/>
        <v>132449.5</v>
      </c>
      <c r="V563" s="80">
        <v>117527</v>
      </c>
      <c r="W563" s="81">
        <v>115769.5</v>
      </c>
      <c r="X563" s="80">
        <v>5009</v>
      </c>
      <c r="Y563" s="81">
        <v>4600</v>
      </c>
      <c r="Z563" s="80">
        <v>9201</v>
      </c>
      <c r="AA563" s="80">
        <v>1081</v>
      </c>
      <c r="AB563" s="80">
        <v>0</v>
      </c>
      <c r="AC563" s="81">
        <v>11570</v>
      </c>
      <c r="AD563" s="81">
        <v>510</v>
      </c>
      <c r="AE563" s="81"/>
      <c r="AF563" s="80"/>
      <c r="AG563" s="81"/>
    </row>
    <row r="564" spans="1:33">
      <c r="A564" s="102" t="s">
        <v>692</v>
      </c>
      <c r="B564" s="103" t="s">
        <v>697</v>
      </c>
      <c r="C564" s="104"/>
      <c r="D564" s="105">
        <v>233921</v>
      </c>
      <c r="E564" s="105">
        <v>1</v>
      </c>
      <c r="F564" s="78">
        <f t="shared" ref="F564:F627" si="42">SUM(H564,J564,L564,M564,N564,R564)</f>
        <v>802141</v>
      </c>
      <c r="G564" s="79">
        <f t="shared" ref="G564:G627" si="43">SUM(I564,K564,O564,P564,Q564,S564)</f>
        <v>825930</v>
      </c>
      <c r="H564" s="80">
        <v>778112</v>
      </c>
      <c r="I564" s="81">
        <v>802681</v>
      </c>
      <c r="J564" s="80">
        <v>214</v>
      </c>
      <c r="K564" s="81">
        <v>267</v>
      </c>
      <c r="L564" s="80">
        <v>23150</v>
      </c>
      <c r="M564" s="80">
        <v>665</v>
      </c>
      <c r="N564" s="80">
        <v>0</v>
      </c>
      <c r="O564" s="81">
        <v>21678</v>
      </c>
      <c r="P564" s="81">
        <v>1304</v>
      </c>
      <c r="Q564" s="81"/>
      <c r="R564" s="80"/>
      <c r="S564" s="81"/>
      <c r="T564" s="78">
        <f t="shared" si="41"/>
        <v>149300</v>
      </c>
      <c r="U564" s="79">
        <f t="shared" ref="U564:U627" si="44">SUM(W564,Y564,AC564,AD564,AE564,AG564)</f>
        <v>150006</v>
      </c>
      <c r="V564" s="80">
        <v>115779</v>
      </c>
      <c r="W564" s="81">
        <v>114608</v>
      </c>
      <c r="X564" s="80">
        <v>19638</v>
      </c>
      <c r="Y564" s="81">
        <v>19771</v>
      </c>
      <c r="Z564" s="80">
        <v>9949</v>
      </c>
      <c r="AA564" s="80">
        <v>3934</v>
      </c>
      <c r="AB564" s="80">
        <v>0</v>
      </c>
      <c r="AC564" s="81">
        <v>10971</v>
      </c>
      <c r="AD564" s="81">
        <v>4656</v>
      </c>
      <c r="AE564" s="81"/>
      <c r="AF564" s="80"/>
      <c r="AG564" s="81"/>
    </row>
    <row r="565" spans="1:33">
      <c r="A565" s="102" t="s">
        <v>692</v>
      </c>
      <c r="B565" s="103" t="s">
        <v>698</v>
      </c>
      <c r="C565" s="104"/>
      <c r="D565" s="105">
        <v>231624</v>
      </c>
      <c r="E565" s="105">
        <v>2</v>
      </c>
      <c r="F565" s="78">
        <f t="shared" si="42"/>
        <v>186363.6</v>
      </c>
      <c r="G565" s="79">
        <f t="shared" si="43"/>
        <v>186460.5</v>
      </c>
      <c r="H565" s="80">
        <v>181414</v>
      </c>
      <c r="I565" s="81">
        <v>180682.5</v>
      </c>
      <c r="J565" s="80">
        <v>4498.6000000000004</v>
      </c>
      <c r="K565" s="81">
        <v>5127</v>
      </c>
      <c r="L565" s="80">
        <v>396</v>
      </c>
      <c r="M565" s="80">
        <v>55</v>
      </c>
      <c r="N565" s="80">
        <v>0</v>
      </c>
      <c r="O565" s="81">
        <v>635</v>
      </c>
      <c r="P565" s="81">
        <v>16</v>
      </c>
      <c r="Q565" s="81"/>
      <c r="R565" s="80"/>
      <c r="S565" s="81"/>
      <c r="T565" s="78">
        <f t="shared" si="41"/>
        <v>57893</v>
      </c>
      <c r="U565" s="79">
        <f t="shared" si="44"/>
        <v>61157.5</v>
      </c>
      <c r="V565" s="80">
        <v>50255.5</v>
      </c>
      <c r="W565" s="81">
        <v>50384</v>
      </c>
      <c r="X565" s="80">
        <v>5229.5</v>
      </c>
      <c r="Y565" s="81">
        <v>5022.5</v>
      </c>
      <c r="Z565" s="80">
        <v>2408</v>
      </c>
      <c r="AA565" s="80">
        <v>0</v>
      </c>
      <c r="AB565" s="80">
        <v>0</v>
      </c>
      <c r="AC565" s="81">
        <v>5631</v>
      </c>
      <c r="AD565" s="81">
        <v>120</v>
      </c>
      <c r="AE565" s="81"/>
      <c r="AF565" s="80"/>
      <c r="AG565" s="81"/>
    </row>
    <row r="566" spans="1:33" ht="15">
      <c r="A566" s="102" t="s">
        <v>692</v>
      </c>
      <c r="B566" s="103" t="s">
        <v>699</v>
      </c>
      <c r="C566" s="203" t="s">
        <v>731</v>
      </c>
      <c r="D566" s="105">
        <v>232423</v>
      </c>
      <c r="E566" s="105">
        <v>3</v>
      </c>
      <c r="F566" s="78">
        <f t="shared" si="42"/>
        <v>581349</v>
      </c>
      <c r="G566" s="79">
        <f t="shared" si="43"/>
        <v>587745</v>
      </c>
      <c r="H566" s="80">
        <v>546202</v>
      </c>
      <c r="I566" s="81">
        <v>545870</v>
      </c>
      <c r="J566" s="80">
        <v>10735</v>
      </c>
      <c r="K566" s="81">
        <v>11733</v>
      </c>
      <c r="L566" s="80">
        <v>24412</v>
      </c>
      <c r="M566" s="80">
        <v>0</v>
      </c>
      <c r="N566" s="80">
        <v>0</v>
      </c>
      <c r="O566" s="81">
        <v>30142</v>
      </c>
      <c r="P566" s="81">
        <v>0</v>
      </c>
      <c r="Q566" s="81"/>
      <c r="R566" s="80"/>
      <c r="S566" s="81"/>
      <c r="T566" s="78">
        <f t="shared" si="41"/>
        <v>35245</v>
      </c>
      <c r="U566" s="79">
        <f t="shared" si="44"/>
        <v>35265</v>
      </c>
      <c r="V566" s="80">
        <v>26943</v>
      </c>
      <c r="W566" s="81">
        <v>25614</v>
      </c>
      <c r="X566" s="80">
        <v>2931</v>
      </c>
      <c r="Y566" s="81">
        <v>3060</v>
      </c>
      <c r="Z566" s="80">
        <v>5371</v>
      </c>
      <c r="AA566" s="80">
        <v>0</v>
      </c>
      <c r="AB566" s="80">
        <v>0</v>
      </c>
      <c r="AC566" s="81">
        <v>6591</v>
      </c>
      <c r="AD566" s="81">
        <v>0</v>
      </c>
      <c r="AE566" s="81"/>
      <c r="AF566" s="80"/>
      <c r="AG566" s="81"/>
    </row>
    <row r="567" spans="1:33">
      <c r="A567" s="102" t="s">
        <v>692</v>
      </c>
      <c r="B567" s="103" t="s">
        <v>700</v>
      </c>
      <c r="C567" s="108"/>
      <c r="D567" s="105">
        <v>232566</v>
      </c>
      <c r="E567" s="105">
        <v>3</v>
      </c>
      <c r="F567" s="78">
        <f t="shared" si="42"/>
        <v>132132.5</v>
      </c>
      <c r="G567" s="79">
        <f t="shared" si="43"/>
        <v>128203.5</v>
      </c>
      <c r="H567" s="80">
        <v>116915.5</v>
      </c>
      <c r="I567" s="81">
        <v>112452.5</v>
      </c>
      <c r="J567" s="80">
        <v>1924</v>
      </c>
      <c r="K567" s="81">
        <v>2635</v>
      </c>
      <c r="L567" s="80">
        <v>13203</v>
      </c>
      <c r="M567" s="80">
        <v>90</v>
      </c>
      <c r="N567" s="80">
        <v>0</v>
      </c>
      <c r="O567" s="81">
        <v>13095</v>
      </c>
      <c r="P567" s="81">
        <v>21</v>
      </c>
      <c r="Q567" s="81"/>
      <c r="R567" s="80"/>
      <c r="S567" s="81"/>
      <c r="T567" s="78">
        <f t="shared" si="41"/>
        <v>8217</v>
      </c>
      <c r="U567" s="79">
        <f t="shared" si="44"/>
        <v>9908</v>
      </c>
      <c r="V567" s="80">
        <v>3481</v>
      </c>
      <c r="W567" s="81">
        <v>3936</v>
      </c>
      <c r="X567" s="80">
        <v>1426</v>
      </c>
      <c r="Y567" s="81">
        <v>2763</v>
      </c>
      <c r="Z567" s="80">
        <v>3157</v>
      </c>
      <c r="AA567" s="80">
        <v>153</v>
      </c>
      <c r="AB567" s="80">
        <v>0</v>
      </c>
      <c r="AC567" s="81">
        <v>3125</v>
      </c>
      <c r="AD567" s="81">
        <v>84</v>
      </c>
      <c r="AE567" s="81"/>
      <c r="AF567" s="80"/>
      <c r="AG567" s="81"/>
    </row>
    <row r="568" spans="1:33">
      <c r="A568" s="102" t="s">
        <v>692</v>
      </c>
      <c r="B568" s="103" t="s">
        <v>701</v>
      </c>
      <c r="C568" s="104"/>
      <c r="D568" s="105">
        <v>232937</v>
      </c>
      <c r="E568" s="105">
        <v>3</v>
      </c>
      <c r="F568" s="78">
        <f t="shared" si="42"/>
        <v>128336</v>
      </c>
      <c r="G568" s="79">
        <f t="shared" si="43"/>
        <v>127997</v>
      </c>
      <c r="H568" s="80">
        <v>99458</v>
      </c>
      <c r="I568" s="81">
        <v>100320</v>
      </c>
      <c r="J568" s="80">
        <v>3264</v>
      </c>
      <c r="K568" s="81">
        <v>1109</v>
      </c>
      <c r="L568" s="80">
        <v>25614</v>
      </c>
      <c r="M568" s="80">
        <v>0</v>
      </c>
      <c r="N568" s="80">
        <v>0</v>
      </c>
      <c r="O568" s="81">
        <v>26568</v>
      </c>
      <c r="P568" s="81">
        <v>0</v>
      </c>
      <c r="Q568" s="81"/>
      <c r="R568" s="80"/>
      <c r="S568" s="81"/>
      <c r="T568" s="78">
        <f t="shared" si="41"/>
        <v>11338</v>
      </c>
      <c r="U568" s="79">
        <f t="shared" si="44"/>
        <v>11736</v>
      </c>
      <c r="V568" s="80">
        <v>8917</v>
      </c>
      <c r="W568" s="81">
        <v>9093</v>
      </c>
      <c r="X568" s="80">
        <v>0</v>
      </c>
      <c r="Y568" s="81">
        <v>0</v>
      </c>
      <c r="Z568" s="80">
        <v>2421</v>
      </c>
      <c r="AA568" s="80">
        <v>0</v>
      </c>
      <c r="AB568" s="80">
        <v>0</v>
      </c>
      <c r="AC568" s="81">
        <v>2643</v>
      </c>
      <c r="AD568" s="81">
        <v>0</v>
      </c>
      <c r="AE568" s="81"/>
      <c r="AF568" s="80"/>
      <c r="AG568" s="81"/>
    </row>
    <row r="569" spans="1:33" s="44" customFormat="1" ht="15" customHeight="1">
      <c r="A569" s="102" t="s">
        <v>692</v>
      </c>
      <c r="B569" s="103" t="s">
        <v>702</v>
      </c>
      <c r="C569" s="203"/>
      <c r="D569" s="105">
        <v>233277</v>
      </c>
      <c r="E569" s="105">
        <v>3</v>
      </c>
      <c r="F569" s="78">
        <f t="shared" si="42"/>
        <v>254959</v>
      </c>
      <c r="G569" s="79">
        <f t="shared" si="43"/>
        <v>248697.5</v>
      </c>
      <c r="H569" s="80">
        <v>225818</v>
      </c>
      <c r="I569" s="81">
        <v>218310</v>
      </c>
      <c r="J569" s="80">
        <v>3987</v>
      </c>
      <c r="K569" s="81">
        <v>3788.5</v>
      </c>
      <c r="L569" s="80">
        <v>23340</v>
      </c>
      <c r="M569" s="80">
        <v>1814</v>
      </c>
      <c r="N569" s="80">
        <v>0</v>
      </c>
      <c r="O569" s="81">
        <v>25066</v>
      </c>
      <c r="P569" s="81">
        <v>1533</v>
      </c>
      <c r="Q569" s="81"/>
      <c r="R569" s="80"/>
      <c r="S569" s="81"/>
      <c r="T569" s="78">
        <f t="shared" si="41"/>
        <v>19458</v>
      </c>
      <c r="U569" s="79">
        <f t="shared" si="44"/>
        <v>20776</v>
      </c>
      <c r="V569" s="80">
        <v>11161</v>
      </c>
      <c r="W569" s="81">
        <v>10895</v>
      </c>
      <c r="X569" s="80">
        <v>3955</v>
      </c>
      <c r="Y569" s="81">
        <v>3882</v>
      </c>
      <c r="Z569" s="80">
        <v>2658</v>
      </c>
      <c r="AA569" s="80">
        <v>1684</v>
      </c>
      <c r="AB569" s="80">
        <v>0</v>
      </c>
      <c r="AC569" s="81">
        <v>4133</v>
      </c>
      <c r="AD569" s="81">
        <v>1866</v>
      </c>
      <c r="AE569" s="81"/>
      <c r="AF569" s="80"/>
      <c r="AG569" s="81"/>
    </row>
    <row r="570" spans="1:33" s="44" customFormat="1" ht="15" customHeight="1">
      <c r="A570" s="102" t="s">
        <v>692</v>
      </c>
      <c r="B570" s="103" t="s">
        <v>703</v>
      </c>
      <c r="C570" s="203"/>
      <c r="D570" s="105">
        <v>232681</v>
      </c>
      <c r="E570" s="105">
        <v>3</v>
      </c>
      <c r="F570" s="78">
        <f t="shared" si="42"/>
        <v>120594</v>
      </c>
      <c r="G570" s="79">
        <f t="shared" si="43"/>
        <v>122638</v>
      </c>
      <c r="H570" s="80">
        <v>113630</v>
      </c>
      <c r="I570" s="81">
        <v>114512</v>
      </c>
      <c r="J570" s="80">
        <v>0</v>
      </c>
      <c r="K570" s="81">
        <v>0</v>
      </c>
      <c r="L570" s="80">
        <v>6806</v>
      </c>
      <c r="M570" s="80">
        <v>158</v>
      </c>
      <c r="N570" s="80">
        <v>0</v>
      </c>
      <c r="O570" s="81">
        <v>8015</v>
      </c>
      <c r="P570" s="81">
        <v>111</v>
      </c>
      <c r="Q570" s="81"/>
      <c r="R570" s="80"/>
      <c r="S570" s="81"/>
      <c r="T570" s="78">
        <f t="shared" si="41"/>
        <v>5559</v>
      </c>
      <c r="U570" s="79">
        <f t="shared" si="44"/>
        <v>6063</v>
      </c>
      <c r="V570" s="80">
        <v>4140.6000000000004</v>
      </c>
      <c r="W570" s="81">
        <v>4053.2</v>
      </c>
      <c r="X570" s="80">
        <v>0</v>
      </c>
      <c r="Y570" s="81">
        <v>0</v>
      </c>
      <c r="Z570" s="80">
        <v>1406.4</v>
      </c>
      <c r="AA570" s="80">
        <v>12</v>
      </c>
      <c r="AB570" s="80">
        <v>0</v>
      </c>
      <c r="AC570" s="81">
        <v>2009.8</v>
      </c>
      <c r="AD570" s="81">
        <v>0</v>
      </c>
      <c r="AE570" s="81"/>
      <c r="AF570" s="80"/>
      <c r="AG570" s="81"/>
    </row>
    <row r="571" spans="1:33" s="44" customFormat="1" ht="15" customHeight="1">
      <c r="A571" s="102" t="s">
        <v>692</v>
      </c>
      <c r="B571" s="103" t="s">
        <v>704</v>
      </c>
      <c r="C571" s="203"/>
      <c r="D571" s="105">
        <v>234155</v>
      </c>
      <c r="E571" s="105">
        <v>3</v>
      </c>
      <c r="F571" s="78">
        <f t="shared" si="42"/>
        <v>126013.9</v>
      </c>
      <c r="G571" s="79">
        <f t="shared" si="43"/>
        <v>127084.1</v>
      </c>
      <c r="H571" s="80">
        <v>121306.9</v>
      </c>
      <c r="I571" s="81">
        <v>117214.1</v>
      </c>
      <c r="J571" s="80">
        <v>3668</v>
      </c>
      <c r="K571" s="81">
        <v>540</v>
      </c>
      <c r="L571" s="80">
        <v>1039</v>
      </c>
      <c r="M571" s="80">
        <v>0</v>
      </c>
      <c r="N571" s="80">
        <v>0</v>
      </c>
      <c r="O571" s="81">
        <v>9330</v>
      </c>
      <c r="P571" s="81">
        <v>0</v>
      </c>
      <c r="Q571" s="81"/>
      <c r="R571" s="80"/>
      <c r="S571" s="81"/>
      <c r="T571" s="78">
        <f t="shared" si="41"/>
        <v>7008</v>
      </c>
      <c r="U571" s="79">
        <f t="shared" si="44"/>
        <v>6759</v>
      </c>
      <c r="V571" s="80">
        <v>6996</v>
      </c>
      <c r="W571" s="81">
        <v>6621</v>
      </c>
      <c r="X571" s="80">
        <v>6</v>
      </c>
      <c r="Y571" s="81">
        <v>27</v>
      </c>
      <c r="Z571" s="80">
        <v>6</v>
      </c>
      <c r="AA571" s="80">
        <v>0</v>
      </c>
      <c r="AB571" s="80">
        <v>0</v>
      </c>
      <c r="AC571" s="81">
        <v>111</v>
      </c>
      <c r="AD571" s="81">
        <v>0</v>
      </c>
      <c r="AE571" s="81"/>
      <c r="AF571" s="80"/>
      <c r="AG571" s="81"/>
    </row>
    <row r="572" spans="1:33" s="44" customFormat="1" ht="15" customHeight="1">
      <c r="A572" s="102" t="s">
        <v>692</v>
      </c>
      <c r="B572" s="103" t="s">
        <v>705</v>
      </c>
      <c r="C572" s="203" t="s">
        <v>522</v>
      </c>
      <c r="D572" s="105">
        <v>231712</v>
      </c>
      <c r="E572" s="105">
        <v>5</v>
      </c>
      <c r="F572" s="78">
        <f t="shared" si="42"/>
        <v>145990</v>
      </c>
      <c r="G572" s="79">
        <f t="shared" si="43"/>
        <v>144046</v>
      </c>
      <c r="H572" s="80">
        <v>145310</v>
      </c>
      <c r="I572" s="81">
        <v>143280</v>
      </c>
      <c r="J572" s="80">
        <v>680</v>
      </c>
      <c r="K572" s="81">
        <v>766</v>
      </c>
      <c r="L572" s="80">
        <v>0</v>
      </c>
      <c r="M572" s="80">
        <v>0</v>
      </c>
      <c r="N572" s="80">
        <v>0</v>
      </c>
      <c r="O572" s="81">
        <v>0</v>
      </c>
      <c r="P572" s="81">
        <v>0</v>
      </c>
      <c r="Q572" s="81"/>
      <c r="R572" s="80"/>
      <c r="S572" s="81"/>
      <c r="T572" s="78">
        <f t="shared" si="41"/>
        <v>3280</v>
      </c>
      <c r="U572" s="79">
        <f t="shared" si="44"/>
        <v>3412</v>
      </c>
      <c r="V572" s="80">
        <v>3235</v>
      </c>
      <c r="W572" s="81">
        <v>3355</v>
      </c>
      <c r="X572" s="80">
        <v>45</v>
      </c>
      <c r="Y572" s="81">
        <v>57</v>
      </c>
      <c r="Z572" s="80">
        <v>0</v>
      </c>
      <c r="AA572" s="80">
        <v>0</v>
      </c>
      <c r="AB572" s="80">
        <v>0</v>
      </c>
      <c r="AC572" s="81">
        <v>0</v>
      </c>
      <c r="AD572" s="81"/>
      <c r="AE572" s="81"/>
      <c r="AF572" s="80"/>
      <c r="AG572" s="81"/>
    </row>
    <row r="573" spans="1:33" s="44" customFormat="1" ht="15" customHeight="1">
      <c r="A573" s="102" t="s">
        <v>692</v>
      </c>
      <c r="B573" s="103" t="s">
        <v>706</v>
      </c>
      <c r="C573" s="203"/>
      <c r="D573" s="105">
        <v>233897</v>
      </c>
      <c r="E573" s="105">
        <v>6</v>
      </c>
      <c r="F573" s="78">
        <f t="shared" si="42"/>
        <v>49831</v>
      </c>
      <c r="G573" s="79">
        <f t="shared" si="43"/>
        <v>47928</v>
      </c>
      <c r="H573" s="80">
        <v>40021</v>
      </c>
      <c r="I573" s="81">
        <v>37089</v>
      </c>
      <c r="J573" s="80">
        <v>0</v>
      </c>
      <c r="K573" s="81">
        <v>0</v>
      </c>
      <c r="L573" s="80">
        <v>9810</v>
      </c>
      <c r="M573" s="80">
        <v>0</v>
      </c>
      <c r="N573" s="80">
        <v>0</v>
      </c>
      <c r="O573" s="81">
        <v>10839</v>
      </c>
      <c r="P573" s="81">
        <v>0</v>
      </c>
      <c r="Q573" s="81"/>
      <c r="R573" s="80"/>
      <c r="S573" s="81"/>
      <c r="T573" s="78">
        <f t="shared" si="41"/>
        <v>0</v>
      </c>
      <c r="U573" s="79">
        <f t="shared" si="44"/>
        <v>0</v>
      </c>
      <c r="V573" s="80"/>
      <c r="W573" s="81"/>
      <c r="X573" s="80"/>
      <c r="Y573" s="81"/>
      <c r="Z573" s="80"/>
      <c r="AA573" s="80"/>
      <c r="AB573" s="80"/>
      <c r="AC573" s="81"/>
      <c r="AD573" s="81"/>
      <c r="AE573" s="81"/>
      <c r="AF573" s="80"/>
      <c r="AG573" s="81"/>
    </row>
    <row r="574" spans="1:33" s="44" customFormat="1" ht="15" customHeight="1">
      <c r="A574" s="102" t="s">
        <v>692</v>
      </c>
      <c r="B574" s="103" t="s">
        <v>707</v>
      </c>
      <c r="C574" s="203"/>
      <c r="D574" s="105">
        <v>232414</v>
      </c>
      <c r="E574" s="105">
        <v>8</v>
      </c>
      <c r="F574" s="78">
        <f t="shared" si="42"/>
        <v>199882</v>
      </c>
      <c r="G574" s="79">
        <f t="shared" si="43"/>
        <v>180457</v>
      </c>
      <c r="H574" s="80">
        <v>120995</v>
      </c>
      <c r="I574" s="81">
        <v>103895</v>
      </c>
      <c r="J574" s="80">
        <v>8783</v>
      </c>
      <c r="K574" s="81">
        <v>12870</v>
      </c>
      <c r="L574" s="80">
        <v>69894</v>
      </c>
      <c r="M574" s="80">
        <v>210</v>
      </c>
      <c r="N574" s="80">
        <v>0</v>
      </c>
      <c r="O574" s="81">
        <v>63602</v>
      </c>
      <c r="P574" s="81">
        <v>90</v>
      </c>
      <c r="Q574" s="81"/>
      <c r="R574" s="80"/>
      <c r="S574" s="81"/>
      <c r="T574" s="78">
        <f t="shared" si="41"/>
        <v>0</v>
      </c>
      <c r="U574" s="79">
        <f t="shared" si="44"/>
        <v>0</v>
      </c>
      <c r="V574" s="80"/>
      <c r="W574" s="81"/>
      <c r="X574" s="80"/>
      <c r="Y574" s="81"/>
      <c r="Z574" s="80"/>
      <c r="AA574" s="80"/>
      <c r="AB574" s="80"/>
      <c r="AC574" s="81"/>
      <c r="AD574" s="81"/>
      <c r="AE574" s="81"/>
      <c r="AF574" s="80"/>
      <c r="AG574" s="81"/>
    </row>
    <row r="575" spans="1:33" s="44" customFormat="1" ht="15" customHeight="1">
      <c r="A575" s="102" t="s">
        <v>692</v>
      </c>
      <c r="B575" s="103" t="s">
        <v>708</v>
      </c>
      <c r="C575" s="203"/>
      <c r="D575" s="105">
        <v>232450</v>
      </c>
      <c r="E575" s="105">
        <v>8</v>
      </c>
      <c r="F575" s="78">
        <f t="shared" si="42"/>
        <v>163021</v>
      </c>
      <c r="G575" s="79">
        <f t="shared" si="43"/>
        <v>164559</v>
      </c>
      <c r="H575" s="80">
        <v>89583</v>
      </c>
      <c r="I575" s="81">
        <v>87885</v>
      </c>
      <c r="J575" s="80">
        <v>23201</v>
      </c>
      <c r="K575" s="81">
        <v>24470</v>
      </c>
      <c r="L575" s="80">
        <v>50150</v>
      </c>
      <c r="M575" s="80">
        <v>87</v>
      </c>
      <c r="N575" s="80">
        <v>0</v>
      </c>
      <c r="O575" s="81">
        <v>52086</v>
      </c>
      <c r="P575" s="81">
        <v>118</v>
      </c>
      <c r="Q575" s="81"/>
      <c r="R575" s="80"/>
      <c r="S575" s="81"/>
      <c r="T575" s="78">
        <f t="shared" si="41"/>
        <v>0</v>
      </c>
      <c r="U575" s="79">
        <f t="shared" si="44"/>
        <v>0</v>
      </c>
      <c r="V575" s="80"/>
      <c r="W575" s="81"/>
      <c r="X575" s="80"/>
      <c r="Y575" s="81"/>
      <c r="Z575" s="80"/>
      <c r="AA575" s="80"/>
      <c r="AB575" s="80"/>
      <c r="AC575" s="81"/>
      <c r="AD575" s="81"/>
      <c r="AE575" s="81"/>
      <c r="AF575" s="80"/>
      <c r="AG575" s="81"/>
    </row>
    <row r="576" spans="1:33" s="44" customFormat="1" ht="15" customHeight="1">
      <c r="A576" s="102" t="s">
        <v>692</v>
      </c>
      <c r="B576" s="103" t="s">
        <v>709</v>
      </c>
      <c r="C576" s="203"/>
      <c r="D576" s="105">
        <v>232946</v>
      </c>
      <c r="E576" s="105">
        <v>8</v>
      </c>
      <c r="F576" s="78">
        <f t="shared" si="42"/>
        <v>1002472.5</v>
      </c>
      <c r="G576" s="79">
        <f t="shared" si="43"/>
        <v>978221</v>
      </c>
      <c r="H576" s="80">
        <v>700777.5</v>
      </c>
      <c r="I576" s="81">
        <v>672226</v>
      </c>
      <c r="J576" s="80">
        <v>67143</v>
      </c>
      <c r="K576" s="81">
        <v>78830</v>
      </c>
      <c r="L576" s="80">
        <v>233006</v>
      </c>
      <c r="M576" s="80">
        <v>1546</v>
      </c>
      <c r="N576" s="80">
        <v>0</v>
      </c>
      <c r="O576" s="81">
        <v>226022</v>
      </c>
      <c r="P576" s="81">
        <v>1143</v>
      </c>
      <c r="Q576" s="81"/>
      <c r="R576" s="80"/>
      <c r="S576" s="81"/>
      <c r="T576" s="78">
        <f t="shared" si="41"/>
        <v>0</v>
      </c>
      <c r="U576" s="79">
        <f t="shared" si="44"/>
        <v>0</v>
      </c>
      <c r="V576" s="80"/>
      <c r="W576" s="81"/>
      <c r="X576" s="80"/>
      <c r="Y576" s="81"/>
      <c r="Z576" s="80"/>
      <c r="AA576" s="80"/>
      <c r="AB576" s="80"/>
      <c r="AC576" s="81"/>
      <c r="AD576" s="81"/>
      <c r="AE576" s="81"/>
      <c r="AF576" s="80"/>
      <c r="AG576" s="81"/>
    </row>
    <row r="577" spans="1:33" s="44" customFormat="1" ht="15" customHeight="1">
      <c r="A577" s="102" t="s">
        <v>692</v>
      </c>
      <c r="B577" s="103" t="s">
        <v>710</v>
      </c>
      <c r="C577" s="203"/>
      <c r="D577" s="105">
        <v>233754</v>
      </c>
      <c r="E577" s="105">
        <v>8</v>
      </c>
      <c r="F577" s="78">
        <f t="shared" si="42"/>
        <v>175424</v>
      </c>
      <c r="G577" s="79">
        <f t="shared" si="43"/>
        <v>161970</v>
      </c>
      <c r="H577" s="80">
        <v>109936</v>
      </c>
      <c r="I577" s="81">
        <v>95114</v>
      </c>
      <c r="J577" s="80">
        <v>9254</v>
      </c>
      <c r="K577" s="81">
        <v>13134</v>
      </c>
      <c r="L577" s="80">
        <v>55878</v>
      </c>
      <c r="M577" s="80">
        <v>356</v>
      </c>
      <c r="N577" s="80">
        <v>0</v>
      </c>
      <c r="O577" s="81">
        <v>53618</v>
      </c>
      <c r="P577" s="81">
        <v>104</v>
      </c>
      <c r="Q577" s="81"/>
      <c r="R577" s="80"/>
      <c r="S577" s="81"/>
      <c r="T577" s="78">
        <f t="shared" si="41"/>
        <v>0</v>
      </c>
      <c r="U577" s="79">
        <f t="shared" si="44"/>
        <v>0</v>
      </c>
      <c r="V577" s="80"/>
      <c r="W577" s="81"/>
      <c r="X577" s="80"/>
      <c r="Y577" s="81"/>
      <c r="Z577" s="80"/>
      <c r="AA577" s="80"/>
      <c r="AB577" s="80"/>
      <c r="AC577" s="81"/>
      <c r="AD577" s="81"/>
      <c r="AE577" s="81"/>
      <c r="AF577" s="80"/>
      <c r="AG577" s="81"/>
    </row>
    <row r="578" spans="1:33" s="44" customFormat="1" ht="15" customHeight="1">
      <c r="A578" s="102" t="s">
        <v>692</v>
      </c>
      <c r="B578" s="103" t="s">
        <v>711</v>
      </c>
      <c r="C578" s="203"/>
      <c r="D578" s="105">
        <v>233772</v>
      </c>
      <c r="E578" s="105">
        <v>8</v>
      </c>
      <c r="F578" s="78">
        <f t="shared" si="42"/>
        <v>500999</v>
      </c>
      <c r="G578" s="79">
        <f t="shared" si="43"/>
        <v>463965</v>
      </c>
      <c r="H578" s="80">
        <v>317431</v>
      </c>
      <c r="I578" s="81">
        <v>286767</v>
      </c>
      <c r="J578" s="80">
        <v>29914</v>
      </c>
      <c r="K578" s="81">
        <v>30441</v>
      </c>
      <c r="L578" s="80">
        <v>153524</v>
      </c>
      <c r="M578" s="80">
        <v>130</v>
      </c>
      <c r="N578" s="80">
        <v>0</v>
      </c>
      <c r="O578" s="81">
        <v>146642</v>
      </c>
      <c r="P578" s="81">
        <v>115</v>
      </c>
      <c r="Q578" s="81"/>
      <c r="R578" s="80"/>
      <c r="S578" s="81"/>
      <c r="T578" s="78">
        <f t="shared" si="41"/>
        <v>0</v>
      </c>
      <c r="U578" s="79">
        <f t="shared" si="44"/>
        <v>0</v>
      </c>
      <c r="V578" s="80"/>
      <c r="W578" s="81"/>
      <c r="X578" s="80"/>
      <c r="Y578" s="81"/>
      <c r="Z578" s="80"/>
      <c r="AA578" s="80"/>
      <c r="AB578" s="80"/>
      <c r="AC578" s="81"/>
      <c r="AD578" s="81"/>
      <c r="AE578" s="81"/>
      <c r="AF578" s="80"/>
      <c r="AG578" s="81"/>
    </row>
    <row r="579" spans="1:33" s="44" customFormat="1" ht="15" customHeight="1">
      <c r="A579" s="102" t="s">
        <v>692</v>
      </c>
      <c r="B579" s="103" t="s">
        <v>712</v>
      </c>
      <c r="C579" s="203"/>
      <c r="D579" s="105">
        <v>231536</v>
      </c>
      <c r="E579" s="105">
        <v>9</v>
      </c>
      <c r="F579" s="78">
        <f t="shared" si="42"/>
        <v>76637</v>
      </c>
      <c r="G579" s="79">
        <f t="shared" si="43"/>
        <v>72356</v>
      </c>
      <c r="H579" s="80">
        <v>39625</v>
      </c>
      <c r="I579" s="81">
        <v>35543</v>
      </c>
      <c r="J579" s="80">
        <v>8107</v>
      </c>
      <c r="K579" s="81">
        <v>8127</v>
      </c>
      <c r="L579" s="80">
        <v>28905</v>
      </c>
      <c r="M579" s="80">
        <v>0</v>
      </c>
      <c r="N579" s="80">
        <v>0</v>
      </c>
      <c r="O579" s="81">
        <v>28686</v>
      </c>
      <c r="P579" s="81">
        <v>0</v>
      </c>
      <c r="Q579" s="81"/>
      <c r="R579" s="80"/>
      <c r="S579" s="81"/>
      <c r="T579" s="78">
        <f t="shared" si="41"/>
        <v>0</v>
      </c>
      <c r="U579" s="79">
        <f t="shared" si="44"/>
        <v>0</v>
      </c>
      <c r="V579" s="80"/>
      <c r="W579" s="81"/>
      <c r="X579" s="80"/>
      <c r="Y579" s="81"/>
      <c r="Z579" s="80"/>
      <c r="AA579" s="80"/>
      <c r="AB579" s="80"/>
      <c r="AC579" s="81"/>
      <c r="AD579" s="81"/>
      <c r="AE579" s="81"/>
      <c r="AF579" s="80"/>
      <c r="AG579" s="81"/>
    </row>
    <row r="580" spans="1:33" s="44" customFormat="1" ht="15" customHeight="1">
      <c r="A580" s="102" t="s">
        <v>692</v>
      </c>
      <c r="B580" s="103" t="s">
        <v>713</v>
      </c>
      <c r="C580" s="203"/>
      <c r="D580" s="105">
        <v>231697</v>
      </c>
      <c r="E580" s="105">
        <v>9</v>
      </c>
      <c r="F580" s="78">
        <f t="shared" si="42"/>
        <v>75380</v>
      </c>
      <c r="G580" s="79">
        <f t="shared" si="43"/>
        <v>73003</v>
      </c>
      <c r="H580" s="80">
        <v>42513</v>
      </c>
      <c r="I580" s="81">
        <v>39901</v>
      </c>
      <c r="J580" s="80">
        <v>13556</v>
      </c>
      <c r="K580" s="81">
        <v>14245</v>
      </c>
      <c r="L580" s="80">
        <v>15348</v>
      </c>
      <c r="M580" s="80">
        <v>3963</v>
      </c>
      <c r="N580" s="80">
        <v>0</v>
      </c>
      <c r="O580" s="81">
        <v>15364</v>
      </c>
      <c r="P580" s="81">
        <v>3493</v>
      </c>
      <c r="Q580" s="81"/>
      <c r="R580" s="80"/>
      <c r="S580" s="81"/>
      <c r="T580" s="78">
        <f t="shared" si="41"/>
        <v>0</v>
      </c>
      <c r="U580" s="79">
        <f t="shared" si="44"/>
        <v>0</v>
      </c>
      <c r="V580" s="80"/>
      <c r="W580" s="81"/>
      <c r="X580" s="80"/>
      <c r="Y580" s="81"/>
      <c r="Z580" s="80"/>
      <c r="AA580" s="80"/>
      <c r="AB580" s="80"/>
      <c r="AC580" s="81"/>
      <c r="AD580" s="81"/>
      <c r="AE580" s="81"/>
      <c r="AF580" s="80"/>
      <c r="AG580" s="81"/>
    </row>
    <row r="581" spans="1:33" s="44" customFormat="1" ht="15" customHeight="1">
      <c r="A581" s="102" t="s">
        <v>692</v>
      </c>
      <c r="B581" s="103" t="s">
        <v>714</v>
      </c>
      <c r="C581" s="203" t="s">
        <v>732</v>
      </c>
      <c r="D581" s="105">
        <v>231882</v>
      </c>
      <c r="E581" s="105">
        <v>9</v>
      </c>
      <c r="F581" s="78">
        <f t="shared" si="42"/>
        <v>64255</v>
      </c>
      <c r="G581" s="79">
        <f t="shared" si="43"/>
        <v>58158</v>
      </c>
      <c r="H581" s="80">
        <v>35695</v>
      </c>
      <c r="I581" s="81">
        <v>27684</v>
      </c>
      <c r="J581" s="80">
        <v>20783</v>
      </c>
      <c r="K581" s="81">
        <v>22609</v>
      </c>
      <c r="L581" s="80">
        <v>7249</v>
      </c>
      <c r="M581" s="80">
        <v>528</v>
      </c>
      <c r="N581" s="80">
        <v>0</v>
      </c>
      <c r="O581" s="81">
        <v>6960</v>
      </c>
      <c r="P581" s="81">
        <v>905</v>
      </c>
      <c r="Q581" s="81"/>
      <c r="R581" s="80"/>
      <c r="S581" s="81"/>
      <c r="T581" s="78">
        <f t="shared" si="41"/>
        <v>0</v>
      </c>
      <c r="U581" s="79">
        <f t="shared" si="44"/>
        <v>0</v>
      </c>
      <c r="V581" s="80"/>
      <c r="W581" s="81"/>
      <c r="X581" s="80"/>
      <c r="Y581" s="81"/>
      <c r="Z581" s="80"/>
      <c r="AA581" s="80"/>
      <c r="AB581" s="80"/>
      <c r="AC581" s="81"/>
      <c r="AD581" s="81"/>
      <c r="AE581" s="81"/>
      <c r="AF581" s="80"/>
      <c r="AG581" s="81"/>
    </row>
    <row r="582" spans="1:33" s="44" customFormat="1" ht="15" customHeight="1">
      <c r="A582" s="102" t="s">
        <v>692</v>
      </c>
      <c r="B582" s="103" t="s">
        <v>715</v>
      </c>
      <c r="C582" s="203"/>
      <c r="D582" s="105">
        <v>232195</v>
      </c>
      <c r="E582" s="105">
        <v>9</v>
      </c>
      <c r="F582" s="78">
        <f t="shared" si="42"/>
        <v>125770</v>
      </c>
      <c r="G582" s="79">
        <f t="shared" si="43"/>
        <v>123961</v>
      </c>
      <c r="H582" s="80">
        <v>66381</v>
      </c>
      <c r="I582" s="81">
        <v>64197</v>
      </c>
      <c r="J582" s="80">
        <v>15742</v>
      </c>
      <c r="K582" s="81">
        <v>14198</v>
      </c>
      <c r="L582" s="80">
        <v>31223</v>
      </c>
      <c r="M582" s="80">
        <v>12424</v>
      </c>
      <c r="N582" s="80">
        <v>0</v>
      </c>
      <c r="O582" s="81">
        <v>33105</v>
      </c>
      <c r="P582" s="81">
        <v>12461</v>
      </c>
      <c r="Q582" s="81"/>
      <c r="R582" s="80"/>
      <c r="S582" s="81"/>
      <c r="T582" s="78">
        <f t="shared" si="41"/>
        <v>0</v>
      </c>
      <c r="U582" s="79">
        <f t="shared" si="44"/>
        <v>0</v>
      </c>
      <c r="V582" s="80"/>
      <c r="W582" s="81"/>
      <c r="X582" s="80"/>
      <c r="Y582" s="81"/>
      <c r="Z582" s="80"/>
      <c r="AA582" s="80"/>
      <c r="AB582" s="80"/>
      <c r="AC582" s="81"/>
      <c r="AD582" s="81"/>
      <c r="AE582" s="81"/>
      <c r="AF582" s="80"/>
      <c r="AG582" s="81"/>
    </row>
    <row r="583" spans="1:33" s="44" customFormat="1" ht="15" customHeight="1">
      <c r="A583" s="102" t="s">
        <v>692</v>
      </c>
      <c r="B583" s="103" t="s">
        <v>716</v>
      </c>
      <c r="C583" s="203"/>
      <c r="D583" s="105">
        <v>232575</v>
      </c>
      <c r="E583" s="105">
        <v>9</v>
      </c>
      <c r="F583" s="78">
        <f t="shared" si="42"/>
        <v>117955</v>
      </c>
      <c r="G583" s="79">
        <f t="shared" si="43"/>
        <v>118021</v>
      </c>
      <c r="H583" s="80">
        <v>46265</v>
      </c>
      <c r="I583" s="81">
        <v>42373</v>
      </c>
      <c r="J583" s="80">
        <v>29822</v>
      </c>
      <c r="K583" s="81">
        <v>31514</v>
      </c>
      <c r="L583" s="80">
        <v>34095</v>
      </c>
      <c r="M583" s="80">
        <v>7773</v>
      </c>
      <c r="N583" s="80">
        <v>0</v>
      </c>
      <c r="O583" s="81">
        <v>35064</v>
      </c>
      <c r="P583" s="81">
        <v>9070</v>
      </c>
      <c r="Q583" s="81"/>
      <c r="R583" s="80"/>
      <c r="S583" s="81"/>
      <c r="T583" s="78">
        <f t="shared" si="41"/>
        <v>0</v>
      </c>
      <c r="U583" s="79">
        <f t="shared" si="44"/>
        <v>0</v>
      </c>
      <c r="V583" s="80"/>
      <c r="W583" s="81"/>
      <c r="X583" s="80"/>
      <c r="Y583" s="81"/>
      <c r="Z583" s="80"/>
      <c r="AA583" s="80"/>
      <c r="AB583" s="80"/>
      <c r="AC583" s="81"/>
      <c r="AD583" s="81"/>
      <c r="AE583" s="81"/>
      <c r="AF583" s="80"/>
      <c r="AG583" s="81"/>
    </row>
    <row r="584" spans="1:33" s="44" customFormat="1" ht="15" customHeight="1">
      <c r="A584" s="102" t="s">
        <v>692</v>
      </c>
      <c r="B584" s="103" t="s">
        <v>717</v>
      </c>
      <c r="C584" s="203"/>
      <c r="D584" s="105">
        <v>232867</v>
      </c>
      <c r="E584" s="105">
        <v>9</v>
      </c>
      <c r="F584" s="78">
        <f t="shared" si="42"/>
        <v>84669</v>
      </c>
      <c r="G584" s="79">
        <f t="shared" si="43"/>
        <v>85066</v>
      </c>
      <c r="H584" s="80">
        <v>22487</v>
      </c>
      <c r="I584" s="81">
        <v>20884</v>
      </c>
      <c r="J584" s="80">
        <v>30174</v>
      </c>
      <c r="K584" s="81">
        <v>33433</v>
      </c>
      <c r="L584" s="80">
        <v>31077</v>
      </c>
      <c r="M584" s="80">
        <v>931</v>
      </c>
      <c r="N584" s="80">
        <v>0</v>
      </c>
      <c r="O584" s="81">
        <v>29769</v>
      </c>
      <c r="P584" s="81">
        <v>980</v>
      </c>
      <c r="Q584" s="81"/>
      <c r="R584" s="80"/>
      <c r="S584" s="81"/>
      <c r="T584" s="78">
        <f t="shared" si="41"/>
        <v>0</v>
      </c>
      <c r="U584" s="79">
        <f t="shared" si="44"/>
        <v>0</v>
      </c>
      <c r="V584" s="80"/>
      <c r="W584" s="81"/>
      <c r="X584" s="80"/>
      <c r="Y584" s="81"/>
      <c r="Z584" s="80"/>
      <c r="AA584" s="80"/>
      <c r="AB584" s="80"/>
      <c r="AC584" s="81"/>
      <c r="AD584" s="81"/>
      <c r="AE584" s="81"/>
      <c r="AF584" s="80"/>
      <c r="AG584" s="81"/>
    </row>
    <row r="585" spans="1:33" s="44" customFormat="1" ht="15" customHeight="1">
      <c r="A585" s="102" t="s">
        <v>692</v>
      </c>
      <c r="B585" s="204" t="s">
        <v>718</v>
      </c>
      <c r="C585" s="206" t="s">
        <v>104</v>
      </c>
      <c r="D585" s="105">
        <v>233019</v>
      </c>
      <c r="E585" s="111">
        <v>10</v>
      </c>
      <c r="F585" s="78">
        <f t="shared" si="42"/>
        <v>53178</v>
      </c>
      <c r="G585" s="79">
        <f t="shared" si="43"/>
        <v>48583</v>
      </c>
      <c r="H585" s="80">
        <v>22645</v>
      </c>
      <c r="I585" s="81">
        <v>20243</v>
      </c>
      <c r="J585" s="80">
        <v>9692</v>
      </c>
      <c r="K585" s="81">
        <v>7603</v>
      </c>
      <c r="L585" s="80">
        <v>17978</v>
      </c>
      <c r="M585" s="80">
        <v>2863</v>
      </c>
      <c r="N585" s="80">
        <v>0</v>
      </c>
      <c r="O585" s="81">
        <v>17629</v>
      </c>
      <c r="P585" s="81">
        <v>3108</v>
      </c>
      <c r="Q585" s="81"/>
      <c r="R585" s="80"/>
      <c r="S585" s="81"/>
      <c r="T585" s="78">
        <f t="shared" si="41"/>
        <v>0</v>
      </c>
      <c r="U585" s="79">
        <f t="shared" si="44"/>
        <v>0</v>
      </c>
      <c r="V585" s="80"/>
      <c r="W585" s="81"/>
      <c r="X585" s="80"/>
      <c r="Y585" s="81"/>
      <c r="Z585" s="80"/>
      <c r="AA585" s="80"/>
      <c r="AB585" s="80"/>
      <c r="AC585" s="81"/>
      <c r="AD585" s="81"/>
      <c r="AE585" s="81"/>
      <c r="AF585" s="80"/>
      <c r="AG585" s="81"/>
    </row>
    <row r="586" spans="1:33" s="44" customFormat="1" ht="15" customHeight="1">
      <c r="A586" s="102" t="s">
        <v>692</v>
      </c>
      <c r="B586" s="103" t="s">
        <v>719</v>
      </c>
      <c r="C586" s="203"/>
      <c r="D586" s="105">
        <v>233116</v>
      </c>
      <c r="E586" s="112">
        <v>9</v>
      </c>
      <c r="F586" s="78">
        <f t="shared" si="42"/>
        <v>89759</v>
      </c>
      <c r="G586" s="79">
        <f t="shared" si="43"/>
        <v>89103</v>
      </c>
      <c r="H586" s="80">
        <v>53168</v>
      </c>
      <c r="I586" s="81">
        <v>51709</v>
      </c>
      <c r="J586" s="80">
        <v>17999</v>
      </c>
      <c r="K586" s="81">
        <v>19627</v>
      </c>
      <c r="L586" s="80">
        <v>17905</v>
      </c>
      <c r="M586" s="80">
        <v>687</v>
      </c>
      <c r="N586" s="80">
        <v>0</v>
      </c>
      <c r="O586" s="81">
        <v>17459</v>
      </c>
      <c r="P586" s="81">
        <v>308</v>
      </c>
      <c r="Q586" s="81"/>
      <c r="R586" s="80"/>
      <c r="S586" s="81"/>
      <c r="T586" s="78">
        <f t="shared" si="41"/>
        <v>0</v>
      </c>
      <c r="U586" s="79">
        <f t="shared" si="44"/>
        <v>0</v>
      </c>
      <c r="V586" s="80"/>
      <c r="W586" s="81"/>
      <c r="X586" s="80"/>
      <c r="Y586" s="81"/>
      <c r="Z586" s="80"/>
      <c r="AA586" s="80"/>
      <c r="AB586" s="80"/>
      <c r="AC586" s="81"/>
      <c r="AD586" s="81"/>
      <c r="AE586" s="81"/>
      <c r="AF586" s="80"/>
      <c r="AG586" s="81"/>
    </row>
    <row r="587" spans="1:33" s="44" customFormat="1" ht="15" customHeight="1">
      <c r="A587" s="102" t="s">
        <v>692</v>
      </c>
      <c r="B587" s="103" t="s">
        <v>720</v>
      </c>
      <c r="C587" s="203"/>
      <c r="D587" s="105">
        <v>233639</v>
      </c>
      <c r="E587" s="112">
        <v>9</v>
      </c>
      <c r="F587" s="78">
        <f t="shared" si="42"/>
        <v>78764</v>
      </c>
      <c r="G587" s="79">
        <f t="shared" si="43"/>
        <v>68359</v>
      </c>
      <c r="H587" s="80">
        <v>20073</v>
      </c>
      <c r="I587" s="81">
        <v>15905</v>
      </c>
      <c r="J587" s="80">
        <v>33046</v>
      </c>
      <c r="K587" s="81">
        <v>30046</v>
      </c>
      <c r="L587" s="80">
        <v>24621</v>
      </c>
      <c r="M587" s="80">
        <v>1024</v>
      </c>
      <c r="N587" s="80">
        <v>0</v>
      </c>
      <c r="O587" s="81">
        <v>21240</v>
      </c>
      <c r="P587" s="81">
        <v>1168</v>
      </c>
      <c r="Q587" s="81"/>
      <c r="R587" s="80"/>
      <c r="S587" s="81"/>
      <c r="T587" s="78">
        <f t="shared" si="41"/>
        <v>0</v>
      </c>
      <c r="U587" s="79">
        <f t="shared" si="44"/>
        <v>0</v>
      </c>
      <c r="V587" s="80"/>
      <c r="W587" s="81"/>
      <c r="X587" s="80"/>
      <c r="Y587" s="81"/>
      <c r="Z587" s="80"/>
      <c r="AA587" s="80"/>
      <c r="AB587" s="80"/>
      <c r="AC587" s="81"/>
      <c r="AD587" s="81"/>
      <c r="AE587" s="81"/>
      <c r="AF587" s="80"/>
      <c r="AG587" s="81"/>
    </row>
    <row r="588" spans="1:33" s="44" customFormat="1" ht="15" customHeight="1">
      <c r="A588" s="102" t="s">
        <v>692</v>
      </c>
      <c r="B588" s="103" t="s">
        <v>721</v>
      </c>
      <c r="C588" s="203"/>
      <c r="D588" s="105">
        <v>233949</v>
      </c>
      <c r="E588" s="112">
        <v>9</v>
      </c>
      <c r="F588" s="78">
        <f t="shared" si="42"/>
        <v>137381</v>
      </c>
      <c r="G588" s="79">
        <f t="shared" si="43"/>
        <v>123469</v>
      </c>
      <c r="H588" s="80">
        <v>72154</v>
      </c>
      <c r="I588" s="81">
        <v>66254</v>
      </c>
      <c r="J588" s="80">
        <v>32519</v>
      </c>
      <c r="K588" s="81">
        <v>27748</v>
      </c>
      <c r="L588" s="80">
        <v>24395</v>
      </c>
      <c r="M588" s="80">
        <v>8313</v>
      </c>
      <c r="N588" s="80">
        <v>0</v>
      </c>
      <c r="O588" s="81">
        <v>21656</v>
      </c>
      <c r="P588" s="81">
        <v>7811</v>
      </c>
      <c r="Q588" s="81"/>
      <c r="R588" s="80"/>
      <c r="S588" s="81"/>
      <c r="T588" s="78">
        <f t="shared" si="41"/>
        <v>0</v>
      </c>
      <c r="U588" s="79">
        <f t="shared" si="44"/>
        <v>0</v>
      </c>
      <c r="V588" s="80"/>
      <c r="W588" s="81"/>
      <c r="X588" s="80"/>
      <c r="Y588" s="81"/>
      <c r="Z588" s="80"/>
      <c r="AA588" s="80"/>
      <c r="AB588" s="80"/>
      <c r="AC588" s="81"/>
      <c r="AD588" s="81"/>
      <c r="AE588" s="81"/>
      <c r="AF588" s="80"/>
      <c r="AG588" s="81"/>
    </row>
    <row r="589" spans="1:33" s="44" customFormat="1" ht="15" customHeight="1">
      <c r="A589" s="102" t="s">
        <v>692</v>
      </c>
      <c r="B589" s="103" t="s">
        <v>722</v>
      </c>
      <c r="C589" s="206" t="s">
        <v>104</v>
      </c>
      <c r="D589" s="105">
        <v>234377</v>
      </c>
      <c r="E589" s="111">
        <v>10</v>
      </c>
      <c r="F589" s="78">
        <f t="shared" si="42"/>
        <v>52131</v>
      </c>
      <c r="G589" s="79">
        <f t="shared" si="43"/>
        <v>49842</v>
      </c>
      <c r="H589" s="80">
        <v>8938</v>
      </c>
      <c r="I589" s="81">
        <v>8385</v>
      </c>
      <c r="J589" s="80">
        <v>15388</v>
      </c>
      <c r="K589" s="81">
        <v>15031</v>
      </c>
      <c r="L589" s="80">
        <v>22771</v>
      </c>
      <c r="M589" s="80">
        <v>5034</v>
      </c>
      <c r="N589" s="80">
        <v>0</v>
      </c>
      <c r="O589" s="81">
        <v>21532</v>
      </c>
      <c r="P589" s="81">
        <v>4894</v>
      </c>
      <c r="Q589" s="81"/>
      <c r="R589" s="80"/>
      <c r="S589" s="81"/>
      <c r="T589" s="78">
        <f t="shared" si="41"/>
        <v>0</v>
      </c>
      <c r="U589" s="79">
        <f t="shared" si="44"/>
        <v>0</v>
      </c>
      <c r="V589" s="80"/>
      <c r="W589" s="81"/>
      <c r="X589" s="80"/>
      <c r="Y589" s="81"/>
      <c r="Z589" s="80"/>
      <c r="AA589" s="80"/>
      <c r="AB589" s="80"/>
      <c r="AC589" s="81"/>
      <c r="AD589" s="81"/>
      <c r="AE589" s="81"/>
      <c r="AF589" s="80"/>
      <c r="AG589" s="81"/>
    </row>
    <row r="590" spans="1:33">
      <c r="A590" s="102" t="s">
        <v>692</v>
      </c>
      <c r="B590" s="103" t="s">
        <v>723</v>
      </c>
      <c r="C590" s="104"/>
      <c r="D590" s="105">
        <v>231873</v>
      </c>
      <c r="E590" s="105">
        <v>10</v>
      </c>
      <c r="F590" s="78">
        <f t="shared" si="42"/>
        <v>22561</v>
      </c>
      <c r="G590" s="79">
        <f t="shared" si="43"/>
        <v>21316</v>
      </c>
      <c r="H590" s="80">
        <v>9429</v>
      </c>
      <c r="I590" s="81">
        <v>8644</v>
      </c>
      <c r="J590" s="80">
        <v>7019</v>
      </c>
      <c r="K590" s="81">
        <v>6221</v>
      </c>
      <c r="L590" s="80">
        <v>3334</v>
      </c>
      <c r="M590" s="80">
        <v>2779</v>
      </c>
      <c r="N590" s="80">
        <v>0</v>
      </c>
      <c r="O590" s="81">
        <v>4246</v>
      </c>
      <c r="P590" s="81">
        <v>2205</v>
      </c>
      <c r="Q590" s="81"/>
      <c r="R590" s="80"/>
      <c r="S590" s="81"/>
      <c r="T590" s="78">
        <f t="shared" si="41"/>
        <v>0</v>
      </c>
      <c r="U590" s="79">
        <f t="shared" si="44"/>
        <v>0</v>
      </c>
      <c r="V590" s="80"/>
      <c r="W590" s="81"/>
      <c r="X590" s="80"/>
      <c r="Y590" s="81"/>
      <c r="Z590" s="80"/>
      <c r="AA590" s="80"/>
      <c r="AB590" s="80"/>
      <c r="AC590" s="81"/>
      <c r="AD590" s="81"/>
      <c r="AE590" s="81"/>
      <c r="AF590" s="80"/>
      <c r="AG590" s="81"/>
    </row>
    <row r="591" spans="1:33">
      <c r="A591" s="102" t="s">
        <v>692</v>
      </c>
      <c r="B591" s="103" t="s">
        <v>724</v>
      </c>
      <c r="C591" s="104"/>
      <c r="D591" s="105">
        <v>232052</v>
      </c>
      <c r="E591" s="105">
        <v>10</v>
      </c>
      <c r="F591" s="78">
        <f t="shared" si="42"/>
        <v>11911</v>
      </c>
      <c r="G591" s="79">
        <f t="shared" si="43"/>
        <v>11109</v>
      </c>
      <c r="H591" s="80">
        <v>7785</v>
      </c>
      <c r="I591" s="81">
        <v>7074</v>
      </c>
      <c r="J591" s="80">
        <v>2276</v>
      </c>
      <c r="K591" s="81">
        <v>2351</v>
      </c>
      <c r="L591" s="80">
        <v>1850</v>
      </c>
      <c r="M591" s="80">
        <v>0</v>
      </c>
      <c r="N591" s="80">
        <v>0</v>
      </c>
      <c r="O591" s="81">
        <v>1684</v>
      </c>
      <c r="P591" s="81">
        <v>0</v>
      </c>
      <c r="Q591" s="81"/>
      <c r="R591" s="80"/>
      <c r="S591" s="81"/>
      <c r="T591" s="78">
        <f t="shared" si="41"/>
        <v>0</v>
      </c>
      <c r="U591" s="79">
        <f t="shared" si="44"/>
        <v>0</v>
      </c>
      <c r="V591" s="80"/>
      <c r="W591" s="81"/>
      <c r="X591" s="80"/>
      <c r="Y591" s="81"/>
      <c r="Z591" s="80"/>
      <c r="AA591" s="80"/>
      <c r="AB591" s="80"/>
      <c r="AC591" s="81"/>
      <c r="AD591" s="81"/>
      <c r="AE591" s="81"/>
      <c r="AF591" s="80"/>
      <c r="AG591" s="81"/>
    </row>
    <row r="592" spans="1:33">
      <c r="A592" s="102" t="s">
        <v>692</v>
      </c>
      <c r="B592" s="103" t="s">
        <v>725</v>
      </c>
      <c r="C592" s="108"/>
      <c r="D592" s="105">
        <v>232788</v>
      </c>
      <c r="E592" s="105">
        <v>10</v>
      </c>
      <c r="F592" s="78">
        <f t="shared" si="42"/>
        <v>52294</v>
      </c>
      <c r="G592" s="79">
        <f t="shared" si="43"/>
        <v>50141</v>
      </c>
      <c r="H592" s="80">
        <v>25056</v>
      </c>
      <c r="I592" s="81">
        <v>22122</v>
      </c>
      <c r="J592" s="80">
        <v>9540</v>
      </c>
      <c r="K592" s="81">
        <v>9522</v>
      </c>
      <c r="L592" s="80">
        <v>15769</v>
      </c>
      <c r="M592" s="80">
        <v>1929</v>
      </c>
      <c r="N592" s="80">
        <v>0</v>
      </c>
      <c r="O592" s="81">
        <v>16386</v>
      </c>
      <c r="P592" s="81">
        <v>2111</v>
      </c>
      <c r="Q592" s="81"/>
      <c r="R592" s="80"/>
      <c r="S592" s="81"/>
      <c r="T592" s="78">
        <f t="shared" si="41"/>
        <v>0</v>
      </c>
      <c r="U592" s="79">
        <f t="shared" si="44"/>
        <v>0</v>
      </c>
      <c r="V592" s="80"/>
      <c r="W592" s="81"/>
      <c r="X592" s="80"/>
      <c r="Y592" s="81"/>
      <c r="Z592" s="80"/>
      <c r="AA592" s="80"/>
      <c r="AB592" s="80"/>
      <c r="AC592" s="81"/>
      <c r="AD592" s="81"/>
      <c r="AE592" s="81"/>
      <c r="AF592" s="80"/>
      <c r="AG592" s="81"/>
    </row>
    <row r="593" spans="1:33">
      <c r="A593" s="102" t="s">
        <v>692</v>
      </c>
      <c r="B593" s="103" t="s">
        <v>726</v>
      </c>
      <c r="C593" s="104"/>
      <c r="D593" s="105">
        <v>233037</v>
      </c>
      <c r="E593" s="105">
        <v>10</v>
      </c>
      <c r="F593" s="78">
        <f t="shared" si="42"/>
        <v>25306</v>
      </c>
      <c r="G593" s="79">
        <f t="shared" si="43"/>
        <v>24056</v>
      </c>
      <c r="H593" s="80">
        <v>8219</v>
      </c>
      <c r="I593" s="81">
        <v>7875</v>
      </c>
      <c r="J593" s="80">
        <v>6433</v>
      </c>
      <c r="K593" s="81">
        <v>6388</v>
      </c>
      <c r="L593" s="80">
        <v>9304</v>
      </c>
      <c r="M593" s="80">
        <v>1350</v>
      </c>
      <c r="N593" s="80">
        <v>0</v>
      </c>
      <c r="O593" s="81">
        <v>9373</v>
      </c>
      <c r="P593" s="81">
        <v>420</v>
      </c>
      <c r="Q593" s="81"/>
      <c r="R593" s="80"/>
      <c r="S593" s="81"/>
      <c r="T593" s="78">
        <f t="shared" si="41"/>
        <v>0</v>
      </c>
      <c r="U593" s="79">
        <f t="shared" si="44"/>
        <v>0</v>
      </c>
      <c r="V593" s="80"/>
      <c r="W593" s="81"/>
      <c r="X593" s="80"/>
      <c r="Y593" s="81"/>
      <c r="Z593" s="80"/>
      <c r="AA593" s="80"/>
      <c r="AB593" s="80"/>
      <c r="AC593" s="81"/>
      <c r="AD593" s="81"/>
      <c r="AE593" s="81"/>
      <c r="AF593" s="80"/>
      <c r="AG593" s="81"/>
    </row>
    <row r="594" spans="1:33">
      <c r="A594" s="102" t="s">
        <v>692</v>
      </c>
      <c r="B594" s="103" t="s">
        <v>727</v>
      </c>
      <c r="C594" s="104"/>
      <c r="D594" s="105">
        <v>233310</v>
      </c>
      <c r="E594" s="105">
        <v>10</v>
      </c>
      <c r="F594" s="78">
        <f t="shared" si="42"/>
        <v>56613</v>
      </c>
      <c r="G594" s="79">
        <f t="shared" si="43"/>
        <v>56607</v>
      </c>
      <c r="H594" s="80">
        <v>12218</v>
      </c>
      <c r="I594" s="81">
        <v>12536</v>
      </c>
      <c r="J594" s="80">
        <v>18772</v>
      </c>
      <c r="K594" s="81">
        <v>19258</v>
      </c>
      <c r="L594" s="80">
        <v>15158</v>
      </c>
      <c r="M594" s="80">
        <v>10465</v>
      </c>
      <c r="N594" s="80">
        <v>0</v>
      </c>
      <c r="O594" s="81">
        <v>15096</v>
      </c>
      <c r="P594" s="81">
        <v>9717</v>
      </c>
      <c r="Q594" s="81"/>
      <c r="R594" s="80"/>
      <c r="S594" s="81"/>
      <c r="T594" s="78">
        <f t="shared" si="41"/>
        <v>0</v>
      </c>
      <c r="U594" s="79">
        <f t="shared" si="44"/>
        <v>0</v>
      </c>
      <c r="V594" s="80"/>
      <c r="W594" s="81"/>
      <c r="X594" s="80"/>
      <c r="Y594" s="81"/>
      <c r="Z594" s="80"/>
      <c r="AA594" s="80"/>
      <c r="AB594" s="80"/>
      <c r="AC594" s="81"/>
      <c r="AD594" s="81"/>
      <c r="AE594" s="81"/>
      <c r="AF594" s="80"/>
      <c r="AG594" s="81"/>
    </row>
    <row r="595" spans="1:33">
      <c r="A595" s="102" t="s">
        <v>692</v>
      </c>
      <c r="B595" s="103" t="s">
        <v>728</v>
      </c>
      <c r="C595" s="104"/>
      <c r="D595" s="105">
        <v>233338</v>
      </c>
      <c r="E595" s="105">
        <v>10</v>
      </c>
      <c r="F595" s="78">
        <f t="shared" si="42"/>
        <v>38959</v>
      </c>
      <c r="G595" s="79">
        <f t="shared" si="43"/>
        <v>36873</v>
      </c>
      <c r="H595" s="80">
        <v>25932</v>
      </c>
      <c r="I595" s="81">
        <v>22342</v>
      </c>
      <c r="J595" s="80">
        <v>8796</v>
      </c>
      <c r="K595" s="81">
        <v>10291</v>
      </c>
      <c r="L595" s="80">
        <v>4231</v>
      </c>
      <c r="M595" s="80">
        <v>0</v>
      </c>
      <c r="N595" s="80">
        <v>0</v>
      </c>
      <c r="O595" s="81">
        <v>4240</v>
      </c>
      <c r="P595" s="81">
        <v>0</v>
      </c>
      <c r="Q595" s="81"/>
      <c r="R595" s="80"/>
      <c r="S595" s="81"/>
      <c r="T595" s="78">
        <f t="shared" si="41"/>
        <v>0</v>
      </c>
      <c r="U595" s="79">
        <f t="shared" si="44"/>
        <v>0</v>
      </c>
      <c r="V595" s="80"/>
      <c r="W595" s="81"/>
      <c r="X595" s="80"/>
      <c r="Y595" s="81"/>
      <c r="Z595" s="80"/>
      <c r="AA595" s="80"/>
      <c r="AB595" s="80"/>
      <c r="AC595" s="81"/>
      <c r="AD595" s="81"/>
      <c r="AE595" s="81"/>
      <c r="AF595" s="80"/>
      <c r="AG595" s="81"/>
    </row>
    <row r="596" spans="1:33">
      <c r="A596" s="102" t="s">
        <v>692</v>
      </c>
      <c r="B596" s="103" t="s">
        <v>729</v>
      </c>
      <c r="C596" s="108"/>
      <c r="D596" s="105">
        <v>233648</v>
      </c>
      <c r="E596" s="205">
        <v>10</v>
      </c>
      <c r="F596" s="78">
        <f t="shared" si="42"/>
        <v>53980</v>
      </c>
      <c r="G596" s="79">
        <f t="shared" si="43"/>
        <v>49072</v>
      </c>
      <c r="H596" s="80">
        <v>18190</v>
      </c>
      <c r="I596" s="81">
        <v>16183</v>
      </c>
      <c r="J596" s="80">
        <v>9641</v>
      </c>
      <c r="K596" s="81">
        <v>8871</v>
      </c>
      <c r="L596" s="80">
        <v>20507</v>
      </c>
      <c r="M596" s="80">
        <v>5642</v>
      </c>
      <c r="N596" s="80">
        <v>0</v>
      </c>
      <c r="O596" s="81">
        <v>19616</v>
      </c>
      <c r="P596" s="81">
        <v>4402</v>
      </c>
      <c r="Q596" s="81"/>
      <c r="R596" s="80"/>
      <c r="S596" s="81"/>
      <c r="T596" s="78">
        <f t="shared" si="41"/>
        <v>0</v>
      </c>
      <c r="U596" s="79">
        <f t="shared" si="44"/>
        <v>0</v>
      </c>
      <c r="V596" s="80"/>
      <c r="W596" s="81"/>
      <c r="X596" s="80"/>
      <c r="Y596" s="81"/>
      <c r="Z596" s="80"/>
      <c r="AA596" s="80"/>
      <c r="AB596" s="80"/>
      <c r="AC596" s="81"/>
      <c r="AD596" s="81"/>
      <c r="AE596" s="81"/>
      <c r="AF596" s="80"/>
      <c r="AG596" s="81"/>
    </row>
    <row r="597" spans="1:33">
      <c r="A597" s="102" t="s">
        <v>692</v>
      </c>
      <c r="B597" s="103" t="s">
        <v>730</v>
      </c>
      <c r="C597" s="104"/>
      <c r="D597" s="105">
        <v>233903</v>
      </c>
      <c r="E597" s="105">
        <v>10</v>
      </c>
      <c r="F597" s="78">
        <f t="shared" si="42"/>
        <v>45505</v>
      </c>
      <c r="G597" s="79">
        <f t="shared" si="43"/>
        <v>44181</v>
      </c>
      <c r="H597" s="80">
        <v>19743</v>
      </c>
      <c r="I597" s="81">
        <v>18100</v>
      </c>
      <c r="J597" s="80">
        <v>8313</v>
      </c>
      <c r="K597" s="81">
        <v>8540</v>
      </c>
      <c r="L597" s="80">
        <v>15939</v>
      </c>
      <c r="M597" s="80">
        <v>1510</v>
      </c>
      <c r="N597" s="80">
        <v>0</v>
      </c>
      <c r="O597" s="81">
        <v>15721</v>
      </c>
      <c r="P597" s="81">
        <v>1820</v>
      </c>
      <c r="Q597" s="81"/>
      <c r="R597" s="80"/>
      <c r="S597" s="81"/>
      <c r="T597" s="78">
        <f t="shared" si="41"/>
        <v>0</v>
      </c>
      <c r="U597" s="79">
        <f t="shared" si="44"/>
        <v>0</v>
      </c>
      <c r="V597" s="80"/>
      <c r="W597" s="81"/>
      <c r="X597" s="80"/>
      <c r="Y597" s="81"/>
      <c r="Z597" s="80"/>
      <c r="AA597" s="80"/>
      <c r="AB597" s="80"/>
      <c r="AC597" s="81"/>
      <c r="AD597" s="81"/>
      <c r="AE597" s="81"/>
      <c r="AF597" s="80"/>
      <c r="AG597" s="81"/>
    </row>
    <row r="598" spans="1:33" s="44" customFormat="1" ht="13.5" customHeight="1">
      <c r="A598" s="164" t="s">
        <v>733</v>
      </c>
      <c r="B598" s="165" t="s">
        <v>734</v>
      </c>
      <c r="C598" s="166"/>
      <c r="D598" s="167">
        <v>238032</v>
      </c>
      <c r="E598" s="167">
        <v>1</v>
      </c>
      <c r="F598" s="78">
        <f t="shared" si="42"/>
        <v>650502</v>
      </c>
      <c r="G598" s="79">
        <f t="shared" si="43"/>
        <v>652521</v>
      </c>
      <c r="H598" s="80">
        <v>580662</v>
      </c>
      <c r="I598" s="81">
        <v>575572</v>
      </c>
      <c r="J598" s="80">
        <v>1093</v>
      </c>
      <c r="K598" s="81">
        <v>1657</v>
      </c>
      <c r="L598" s="80">
        <v>64955</v>
      </c>
      <c r="M598" s="80">
        <v>0</v>
      </c>
      <c r="N598" s="80">
        <v>3792</v>
      </c>
      <c r="O598" s="81">
        <v>71146</v>
      </c>
      <c r="P598" s="81">
        <v>0</v>
      </c>
      <c r="Q598" s="81">
        <v>4146</v>
      </c>
      <c r="R598" s="80">
        <v>0</v>
      </c>
      <c r="S598" s="81">
        <v>0</v>
      </c>
      <c r="T598" s="78">
        <f t="shared" si="41"/>
        <v>94979</v>
      </c>
      <c r="U598" s="79">
        <f t="shared" si="44"/>
        <v>91119</v>
      </c>
      <c r="V598" s="80">
        <v>63100</v>
      </c>
      <c r="W598" s="81">
        <v>59921</v>
      </c>
      <c r="X598" s="80">
        <v>2859</v>
      </c>
      <c r="Y598" s="81">
        <v>4443</v>
      </c>
      <c r="Z598" s="80">
        <v>28405</v>
      </c>
      <c r="AA598" s="80">
        <v>3</v>
      </c>
      <c r="AB598" s="80">
        <v>612</v>
      </c>
      <c r="AC598" s="81">
        <v>26307</v>
      </c>
      <c r="AD598" s="81"/>
      <c r="AE598" s="81">
        <v>448</v>
      </c>
      <c r="AF598" s="80">
        <v>0</v>
      </c>
      <c r="AG598" s="81"/>
    </row>
    <row r="599" spans="1:33">
      <c r="A599" s="164" t="s">
        <v>733</v>
      </c>
      <c r="B599" s="165" t="s">
        <v>735</v>
      </c>
      <c r="C599" s="166"/>
      <c r="D599" s="167">
        <v>237525</v>
      </c>
      <c r="E599" s="167">
        <v>3</v>
      </c>
      <c r="F599" s="78">
        <f t="shared" si="42"/>
        <v>264382</v>
      </c>
      <c r="G599" s="79">
        <f t="shared" si="43"/>
        <v>261348</v>
      </c>
      <c r="H599" s="80">
        <v>203793</v>
      </c>
      <c r="I599" s="81">
        <v>194603</v>
      </c>
      <c r="J599" s="80">
        <v>22061</v>
      </c>
      <c r="K599" s="81">
        <v>22994</v>
      </c>
      <c r="L599" s="80">
        <v>34898</v>
      </c>
      <c r="M599" s="80">
        <v>3630</v>
      </c>
      <c r="N599" s="80">
        <v>0</v>
      </c>
      <c r="O599" s="81">
        <v>39900</v>
      </c>
      <c r="P599" s="81">
        <v>3851</v>
      </c>
      <c r="Q599" s="81">
        <v>0</v>
      </c>
      <c r="R599" s="80">
        <v>0</v>
      </c>
      <c r="S599" s="81">
        <v>0</v>
      </c>
      <c r="T599" s="78">
        <f t="shared" si="41"/>
        <v>70208</v>
      </c>
      <c r="U599" s="79">
        <f t="shared" si="44"/>
        <v>69223</v>
      </c>
      <c r="V599" s="80">
        <v>36662</v>
      </c>
      <c r="W599" s="81">
        <v>36625</v>
      </c>
      <c r="X599" s="80">
        <v>17661</v>
      </c>
      <c r="Y599" s="81">
        <v>16226</v>
      </c>
      <c r="Z599" s="80">
        <v>15040</v>
      </c>
      <c r="AA599" s="80">
        <v>845</v>
      </c>
      <c r="AB599" s="80">
        <v>0</v>
      </c>
      <c r="AC599" s="81">
        <v>15668</v>
      </c>
      <c r="AD599" s="81">
        <v>704</v>
      </c>
      <c r="AE599" s="81"/>
      <c r="AF599" s="80">
        <v>0</v>
      </c>
      <c r="AG599" s="81"/>
    </row>
    <row r="600" spans="1:33">
      <c r="A600" s="164" t="s">
        <v>733</v>
      </c>
      <c r="B600" s="165" t="s">
        <v>736</v>
      </c>
      <c r="C600" s="166"/>
      <c r="D600" s="167">
        <v>237367</v>
      </c>
      <c r="E600" s="167">
        <v>5</v>
      </c>
      <c r="F600" s="78">
        <f t="shared" si="42"/>
        <v>104251</v>
      </c>
      <c r="G600" s="79">
        <f t="shared" si="43"/>
        <v>100586</v>
      </c>
      <c r="H600" s="80">
        <v>78761</v>
      </c>
      <c r="I600" s="81">
        <v>81761</v>
      </c>
      <c r="J600" s="80">
        <v>6198</v>
      </c>
      <c r="K600" s="81">
        <v>4218</v>
      </c>
      <c r="L600" s="80">
        <v>19292</v>
      </c>
      <c r="M600" s="80">
        <v>0</v>
      </c>
      <c r="N600" s="80">
        <v>0</v>
      </c>
      <c r="O600" s="81">
        <v>14607</v>
      </c>
      <c r="P600" s="81">
        <v>0</v>
      </c>
      <c r="Q600" s="81">
        <v>0</v>
      </c>
      <c r="R600" s="80">
        <v>0</v>
      </c>
      <c r="S600" s="81">
        <v>0</v>
      </c>
      <c r="T600" s="78">
        <f t="shared" si="41"/>
        <v>4331</v>
      </c>
      <c r="U600" s="79">
        <f t="shared" si="44"/>
        <v>4241</v>
      </c>
      <c r="V600" s="80">
        <v>1105</v>
      </c>
      <c r="W600" s="81">
        <v>2247</v>
      </c>
      <c r="X600" s="80">
        <v>245</v>
      </c>
      <c r="Y600" s="81">
        <v>230</v>
      </c>
      <c r="Z600" s="80">
        <v>2981</v>
      </c>
      <c r="AA600" s="80">
        <v>0</v>
      </c>
      <c r="AB600" s="80">
        <v>0</v>
      </c>
      <c r="AC600" s="81">
        <v>1764</v>
      </c>
      <c r="AD600" s="81"/>
      <c r="AE600" s="81"/>
      <c r="AF600" s="80">
        <v>0</v>
      </c>
      <c r="AG600" s="81"/>
    </row>
    <row r="601" spans="1:33">
      <c r="A601" s="164" t="s">
        <v>733</v>
      </c>
      <c r="B601" s="165" t="s">
        <v>737</v>
      </c>
      <c r="C601" s="166"/>
      <c r="D601" s="167">
        <v>237792</v>
      </c>
      <c r="E601" s="207">
        <v>5</v>
      </c>
      <c r="F601" s="78">
        <f t="shared" si="42"/>
        <v>91003</v>
      </c>
      <c r="G601" s="79">
        <f t="shared" si="43"/>
        <v>86320</v>
      </c>
      <c r="H601" s="80">
        <v>84445</v>
      </c>
      <c r="I601" s="81">
        <v>78479</v>
      </c>
      <c r="J601" s="80">
        <v>0</v>
      </c>
      <c r="K601" s="81">
        <v>0</v>
      </c>
      <c r="L601" s="80">
        <v>6558</v>
      </c>
      <c r="M601" s="80">
        <v>0</v>
      </c>
      <c r="N601" s="80">
        <v>0</v>
      </c>
      <c r="O601" s="81">
        <v>7841</v>
      </c>
      <c r="P601" s="81">
        <v>0</v>
      </c>
      <c r="Q601" s="81">
        <v>0</v>
      </c>
      <c r="R601" s="80">
        <v>0</v>
      </c>
      <c r="S601" s="81">
        <v>0</v>
      </c>
      <c r="T601" s="78">
        <f t="shared" si="41"/>
        <v>5339</v>
      </c>
      <c r="U601" s="79">
        <f t="shared" si="44"/>
        <v>5699</v>
      </c>
      <c r="V601" s="80">
        <v>4503</v>
      </c>
      <c r="W601" s="81">
        <v>4810</v>
      </c>
      <c r="X601" s="80">
        <v>0</v>
      </c>
      <c r="Y601" s="81">
        <v>0</v>
      </c>
      <c r="Z601" s="80">
        <v>836</v>
      </c>
      <c r="AA601" s="80">
        <v>0</v>
      </c>
      <c r="AB601" s="80">
        <v>0</v>
      </c>
      <c r="AC601" s="81">
        <v>889</v>
      </c>
      <c r="AD601" s="81"/>
      <c r="AE601" s="81"/>
      <c r="AF601" s="80">
        <v>0</v>
      </c>
      <c r="AG601" s="81"/>
    </row>
    <row r="602" spans="1:33">
      <c r="A602" s="164" t="s">
        <v>733</v>
      </c>
      <c r="B602" s="165" t="s">
        <v>738</v>
      </c>
      <c r="C602" s="166"/>
      <c r="D602" s="167">
        <v>237215</v>
      </c>
      <c r="E602" s="167">
        <v>6</v>
      </c>
      <c r="F602" s="78">
        <f t="shared" si="42"/>
        <v>37239</v>
      </c>
      <c r="G602" s="79">
        <f t="shared" si="43"/>
        <v>36110</v>
      </c>
      <c r="H602" s="80">
        <v>17710</v>
      </c>
      <c r="I602" s="81">
        <v>16347</v>
      </c>
      <c r="J602" s="80">
        <v>3125</v>
      </c>
      <c r="K602" s="81">
        <v>2585</v>
      </c>
      <c r="L602" s="80">
        <v>13469</v>
      </c>
      <c r="M602" s="80">
        <v>2935</v>
      </c>
      <c r="N602" s="80">
        <v>0</v>
      </c>
      <c r="O602" s="81">
        <v>14598</v>
      </c>
      <c r="P602" s="81">
        <v>2580</v>
      </c>
      <c r="Q602" s="81">
        <v>0</v>
      </c>
      <c r="R602" s="80">
        <v>0</v>
      </c>
      <c r="S602" s="81">
        <v>0</v>
      </c>
      <c r="T602" s="78">
        <f t="shared" si="41"/>
        <v>0</v>
      </c>
      <c r="U602" s="79">
        <f t="shared" si="44"/>
        <v>0</v>
      </c>
      <c r="V602" s="80"/>
      <c r="W602" s="81"/>
      <c r="X602" s="80"/>
      <c r="Y602" s="81">
        <v>0</v>
      </c>
      <c r="Z602" s="80"/>
      <c r="AA602" s="80"/>
      <c r="AB602" s="80"/>
      <c r="AC602" s="81"/>
      <c r="AD602" s="81"/>
      <c r="AE602" s="81"/>
      <c r="AF602" s="80"/>
      <c r="AG602" s="81"/>
    </row>
    <row r="603" spans="1:33" s="44" customFormat="1" ht="15" customHeight="1">
      <c r="A603" s="164" t="s">
        <v>733</v>
      </c>
      <c r="B603" s="165" t="s">
        <v>739</v>
      </c>
      <c r="C603" s="208"/>
      <c r="D603" s="167">
        <v>237330</v>
      </c>
      <c r="E603" s="207">
        <v>5</v>
      </c>
      <c r="F603" s="78">
        <f t="shared" si="42"/>
        <v>61027</v>
      </c>
      <c r="G603" s="79">
        <f t="shared" si="43"/>
        <v>56093</v>
      </c>
      <c r="H603" s="80">
        <v>42219</v>
      </c>
      <c r="I603" s="81">
        <v>37992</v>
      </c>
      <c r="J603" s="80">
        <v>7166</v>
      </c>
      <c r="K603" s="81">
        <v>6343</v>
      </c>
      <c r="L603" s="80">
        <v>11555</v>
      </c>
      <c r="M603" s="80">
        <v>87</v>
      </c>
      <c r="N603" s="80">
        <v>0</v>
      </c>
      <c r="O603" s="81">
        <v>11644</v>
      </c>
      <c r="P603" s="81">
        <v>114</v>
      </c>
      <c r="Q603" s="81">
        <v>0</v>
      </c>
      <c r="R603" s="80">
        <v>0</v>
      </c>
      <c r="S603" s="81">
        <v>0</v>
      </c>
      <c r="T603" s="78">
        <f t="shared" si="41"/>
        <v>6084</v>
      </c>
      <c r="U603" s="79">
        <f t="shared" si="44"/>
        <v>6465</v>
      </c>
      <c r="V603" s="80">
        <v>369</v>
      </c>
      <c r="W603" s="81">
        <v>315</v>
      </c>
      <c r="X603" s="80">
        <v>0</v>
      </c>
      <c r="Y603" s="81"/>
      <c r="Z603" s="80">
        <v>5715</v>
      </c>
      <c r="AA603" s="80">
        <v>0</v>
      </c>
      <c r="AB603" s="80">
        <v>0</v>
      </c>
      <c r="AC603" s="81">
        <v>6150</v>
      </c>
      <c r="AD603" s="81"/>
      <c r="AE603" s="81"/>
      <c r="AF603" s="80">
        <v>0</v>
      </c>
      <c r="AG603" s="81"/>
    </row>
    <row r="604" spans="1:33" s="44" customFormat="1" ht="15" customHeight="1">
      <c r="A604" s="164" t="s">
        <v>733</v>
      </c>
      <c r="B604" s="165" t="s">
        <v>740</v>
      </c>
      <c r="C604" s="209"/>
      <c r="D604" s="167">
        <v>237385</v>
      </c>
      <c r="E604" s="207">
        <v>6</v>
      </c>
      <c r="F604" s="78">
        <f t="shared" si="42"/>
        <v>36516</v>
      </c>
      <c r="G604" s="79">
        <f t="shared" si="43"/>
        <v>37051</v>
      </c>
      <c r="H604" s="80">
        <v>29398</v>
      </c>
      <c r="I604" s="81">
        <v>27471</v>
      </c>
      <c r="J604" s="80">
        <v>2694</v>
      </c>
      <c r="K604" s="81">
        <v>3941</v>
      </c>
      <c r="L604" s="80">
        <v>4424</v>
      </c>
      <c r="M604" s="80">
        <v>0</v>
      </c>
      <c r="N604" s="80">
        <v>0</v>
      </c>
      <c r="O604" s="81">
        <v>5639</v>
      </c>
      <c r="P604" s="81">
        <v>0</v>
      </c>
      <c r="Q604" s="81">
        <v>0</v>
      </c>
      <c r="R604" s="80">
        <v>0</v>
      </c>
      <c r="S604" s="81">
        <v>0</v>
      </c>
      <c r="T604" s="78">
        <f t="shared" si="41"/>
        <v>0</v>
      </c>
      <c r="U604" s="79">
        <f t="shared" si="44"/>
        <v>0</v>
      </c>
      <c r="V604" s="80"/>
      <c r="W604" s="81"/>
      <c r="X604" s="80"/>
      <c r="Y604" s="81"/>
      <c r="Z604" s="80"/>
      <c r="AA604" s="80"/>
      <c r="AB604" s="80"/>
      <c r="AC604" s="81"/>
      <c r="AD604" s="81"/>
      <c r="AE604" s="81"/>
      <c r="AF604" s="80"/>
      <c r="AG604" s="81"/>
    </row>
    <row r="605" spans="1:33" s="44" customFormat="1" ht="15" customHeight="1">
      <c r="A605" s="164" t="s">
        <v>733</v>
      </c>
      <c r="B605" s="165" t="s">
        <v>741</v>
      </c>
      <c r="C605" s="208"/>
      <c r="D605" s="167">
        <v>237932</v>
      </c>
      <c r="E605" s="207">
        <v>5</v>
      </c>
      <c r="F605" s="78">
        <f t="shared" si="42"/>
        <v>61051</v>
      </c>
      <c r="G605" s="79">
        <f t="shared" si="43"/>
        <v>61439</v>
      </c>
      <c r="H605" s="80">
        <v>52133</v>
      </c>
      <c r="I605" s="81">
        <v>52926</v>
      </c>
      <c r="J605" s="80">
        <v>2504</v>
      </c>
      <c r="K605" s="81">
        <v>2473</v>
      </c>
      <c r="L605" s="80">
        <v>6414</v>
      </c>
      <c r="M605" s="80">
        <v>0</v>
      </c>
      <c r="N605" s="80">
        <v>0</v>
      </c>
      <c r="O605" s="81">
        <v>6040</v>
      </c>
      <c r="P605" s="81">
        <v>0</v>
      </c>
      <c r="Q605" s="81">
        <v>0</v>
      </c>
      <c r="R605" s="80">
        <v>0</v>
      </c>
      <c r="S605" s="81">
        <v>0</v>
      </c>
      <c r="T605" s="78">
        <f t="shared" si="41"/>
        <v>4194</v>
      </c>
      <c r="U605" s="79">
        <f t="shared" si="44"/>
        <v>5537</v>
      </c>
      <c r="V605" s="80">
        <v>2016</v>
      </c>
      <c r="W605" s="81">
        <v>2141</v>
      </c>
      <c r="X605" s="80">
        <v>1188</v>
      </c>
      <c r="Y605" s="81">
        <v>1521</v>
      </c>
      <c r="Z605" s="80">
        <v>990</v>
      </c>
      <c r="AA605" s="80">
        <v>0</v>
      </c>
      <c r="AB605" s="80">
        <v>0</v>
      </c>
      <c r="AC605" s="81">
        <v>1875</v>
      </c>
      <c r="AD605" s="81"/>
      <c r="AE605" s="81"/>
      <c r="AF605" s="80">
        <v>0</v>
      </c>
      <c r="AG605" s="81"/>
    </row>
    <row r="606" spans="1:33">
      <c r="A606" s="164" t="s">
        <v>733</v>
      </c>
      <c r="B606" s="165" t="s">
        <v>742</v>
      </c>
      <c r="C606" s="166"/>
      <c r="D606" s="167">
        <v>237899</v>
      </c>
      <c r="E606" s="207">
        <v>6</v>
      </c>
      <c r="F606" s="78">
        <f t="shared" si="42"/>
        <v>65642</v>
      </c>
      <c r="G606" s="79">
        <f t="shared" si="43"/>
        <v>68222</v>
      </c>
      <c r="H606" s="80">
        <v>42208</v>
      </c>
      <c r="I606" s="81">
        <v>39002</v>
      </c>
      <c r="J606" s="80">
        <v>7680</v>
      </c>
      <c r="K606" s="81">
        <v>12479</v>
      </c>
      <c r="L606" s="80">
        <v>15754</v>
      </c>
      <c r="M606" s="80">
        <v>0</v>
      </c>
      <c r="N606" s="80">
        <v>0</v>
      </c>
      <c r="O606" s="81">
        <v>16741</v>
      </c>
      <c r="P606" s="81">
        <v>0</v>
      </c>
      <c r="Q606" s="81">
        <v>0</v>
      </c>
      <c r="R606" s="80">
        <v>0</v>
      </c>
      <c r="S606" s="81">
        <v>0</v>
      </c>
      <c r="T606" s="78">
        <f t="shared" si="41"/>
        <v>1265</v>
      </c>
      <c r="U606" s="79">
        <f t="shared" si="44"/>
        <v>1887</v>
      </c>
      <c r="V606" s="80">
        <v>845</v>
      </c>
      <c r="W606" s="81">
        <v>1293</v>
      </c>
      <c r="X606" s="80">
        <v>108</v>
      </c>
      <c r="Y606" s="81">
        <v>87</v>
      </c>
      <c r="Z606" s="80">
        <v>312</v>
      </c>
      <c r="AA606" s="80">
        <v>0</v>
      </c>
      <c r="AB606" s="80">
        <v>0</v>
      </c>
      <c r="AC606" s="81">
        <v>507</v>
      </c>
      <c r="AD606" s="81"/>
      <c r="AE606" s="81"/>
      <c r="AF606" s="80">
        <v>0</v>
      </c>
      <c r="AG606" s="81"/>
    </row>
    <row r="607" spans="1:33">
      <c r="A607" s="164" t="s">
        <v>733</v>
      </c>
      <c r="B607" s="165" t="s">
        <v>743</v>
      </c>
      <c r="C607" s="168"/>
      <c r="D607" s="167">
        <v>237686</v>
      </c>
      <c r="E607" s="207">
        <v>7</v>
      </c>
      <c r="F607" s="78">
        <f t="shared" si="42"/>
        <v>57695</v>
      </c>
      <c r="G607" s="79">
        <f t="shared" si="43"/>
        <v>56441</v>
      </c>
      <c r="H607" s="80">
        <v>33433</v>
      </c>
      <c r="I607" s="81">
        <v>32475</v>
      </c>
      <c r="J607" s="80">
        <v>6295</v>
      </c>
      <c r="K607" s="81">
        <v>4321</v>
      </c>
      <c r="L607" s="80">
        <v>17718</v>
      </c>
      <c r="M607" s="80">
        <v>0</v>
      </c>
      <c r="N607" s="80">
        <v>249</v>
      </c>
      <c r="O607" s="81">
        <v>17072</v>
      </c>
      <c r="P607" s="81">
        <v>0</v>
      </c>
      <c r="Q607" s="81">
        <v>2573</v>
      </c>
      <c r="R607" s="80">
        <v>0</v>
      </c>
      <c r="S607" s="81">
        <v>0</v>
      </c>
      <c r="T607" s="78">
        <f t="shared" si="41"/>
        <v>0</v>
      </c>
      <c r="U607" s="79">
        <f t="shared" si="44"/>
        <v>0</v>
      </c>
      <c r="V607" s="80"/>
      <c r="W607" s="81"/>
      <c r="X607" s="80"/>
      <c r="Y607" s="81"/>
      <c r="Z607" s="80"/>
      <c r="AA607" s="80"/>
      <c r="AB607" s="80"/>
      <c r="AC607" s="81"/>
      <c r="AD607" s="81"/>
      <c r="AE607" s="81"/>
      <c r="AF607" s="80"/>
      <c r="AG607" s="81"/>
    </row>
    <row r="608" spans="1:33">
      <c r="A608" s="164" t="s">
        <v>733</v>
      </c>
      <c r="B608" s="165" t="s">
        <v>744</v>
      </c>
      <c r="C608" s="166"/>
      <c r="D608" s="167">
        <v>237950</v>
      </c>
      <c r="E608" s="207">
        <v>6</v>
      </c>
      <c r="F608" s="78">
        <f t="shared" si="42"/>
        <v>32663</v>
      </c>
      <c r="G608" s="79">
        <f t="shared" si="43"/>
        <v>35706</v>
      </c>
      <c r="H608" s="80">
        <v>27114</v>
      </c>
      <c r="I608" s="81">
        <v>29862</v>
      </c>
      <c r="J608" s="80">
        <v>453</v>
      </c>
      <c r="K608" s="81">
        <v>66</v>
      </c>
      <c r="L608" s="80">
        <v>5096</v>
      </c>
      <c r="M608" s="80">
        <v>0</v>
      </c>
      <c r="N608" s="80">
        <v>0</v>
      </c>
      <c r="O608" s="81">
        <v>5775</v>
      </c>
      <c r="P608" s="81">
        <v>0</v>
      </c>
      <c r="Q608" s="81">
        <v>3</v>
      </c>
      <c r="R608" s="80">
        <v>0</v>
      </c>
      <c r="S608" s="81">
        <v>0</v>
      </c>
      <c r="T608" s="78">
        <f t="shared" si="41"/>
        <v>0</v>
      </c>
      <c r="U608" s="79">
        <f t="shared" si="44"/>
        <v>0</v>
      </c>
      <c r="V608" s="80"/>
      <c r="W608" s="81"/>
      <c r="X608" s="80"/>
      <c r="Y608" s="81"/>
      <c r="Z608" s="80"/>
      <c r="AA608" s="80"/>
      <c r="AB608" s="80"/>
      <c r="AC608" s="81"/>
      <c r="AD608" s="81"/>
      <c r="AE608" s="81"/>
      <c r="AF608" s="80"/>
      <c r="AG608" s="81"/>
    </row>
    <row r="609" spans="1:33">
      <c r="A609" s="164" t="s">
        <v>733</v>
      </c>
      <c r="B609" s="210" t="s">
        <v>745</v>
      </c>
      <c r="C609" s="211"/>
      <c r="D609" s="167">
        <v>237701</v>
      </c>
      <c r="E609" s="207">
        <v>7</v>
      </c>
      <c r="F609" s="78">
        <f t="shared" si="42"/>
        <v>34802</v>
      </c>
      <c r="G609" s="79">
        <f t="shared" si="43"/>
        <v>34687</v>
      </c>
      <c r="H609" s="80">
        <v>29351</v>
      </c>
      <c r="I609" s="81">
        <v>29684</v>
      </c>
      <c r="J609" s="80">
        <v>2400</v>
      </c>
      <c r="K609" s="81">
        <v>1614</v>
      </c>
      <c r="L609" s="80">
        <v>3051</v>
      </c>
      <c r="M609" s="80">
        <v>0</v>
      </c>
      <c r="N609" s="80">
        <v>0</v>
      </c>
      <c r="O609" s="81">
        <v>3385</v>
      </c>
      <c r="P609" s="81">
        <v>0</v>
      </c>
      <c r="Q609" s="81">
        <v>4</v>
      </c>
      <c r="R609" s="80">
        <v>0</v>
      </c>
      <c r="S609" s="81">
        <v>0</v>
      </c>
      <c r="T609" s="78">
        <f t="shared" si="41"/>
        <v>0</v>
      </c>
      <c r="U609" s="79">
        <f t="shared" si="44"/>
        <v>0</v>
      </c>
      <c r="V609" s="80"/>
      <c r="W609" s="81"/>
      <c r="X609" s="80"/>
      <c r="Y609" s="81"/>
      <c r="Z609" s="80"/>
      <c r="AA609" s="80"/>
      <c r="AB609" s="80"/>
      <c r="AC609" s="81"/>
      <c r="AD609" s="81"/>
      <c r="AE609" s="81"/>
      <c r="AF609" s="80"/>
      <c r="AG609" s="81"/>
    </row>
    <row r="610" spans="1:33" s="44" customFormat="1" ht="15" customHeight="1">
      <c r="A610" s="164" t="s">
        <v>733</v>
      </c>
      <c r="B610" s="165" t="s">
        <v>746</v>
      </c>
      <c r="C610" s="208"/>
      <c r="D610" s="167">
        <v>447582</v>
      </c>
      <c r="E610" s="207">
        <v>10</v>
      </c>
      <c r="F610" s="78">
        <f t="shared" si="42"/>
        <v>36968</v>
      </c>
      <c r="G610" s="79">
        <f t="shared" si="43"/>
        <v>30304</v>
      </c>
      <c r="H610" s="80">
        <v>23169</v>
      </c>
      <c r="I610" s="81">
        <v>20210</v>
      </c>
      <c r="J610" s="80">
        <v>0</v>
      </c>
      <c r="K610" s="81">
        <v>0</v>
      </c>
      <c r="L610" s="80">
        <v>11436</v>
      </c>
      <c r="M610" s="80">
        <v>2363</v>
      </c>
      <c r="N610" s="80">
        <v>0</v>
      </c>
      <c r="O610" s="81">
        <v>10094</v>
      </c>
      <c r="P610" s="81">
        <v>0</v>
      </c>
      <c r="Q610" s="81">
        <v>0</v>
      </c>
      <c r="R610" s="80">
        <v>0</v>
      </c>
      <c r="S610" s="81">
        <v>0</v>
      </c>
      <c r="T610" s="78">
        <f t="shared" si="41"/>
        <v>0</v>
      </c>
      <c r="U610" s="79">
        <f t="shared" si="44"/>
        <v>0</v>
      </c>
      <c r="V610" s="80"/>
      <c r="W610" s="81"/>
      <c r="X610" s="80"/>
      <c r="Y610" s="81"/>
      <c r="Z610" s="80"/>
      <c r="AA610" s="80"/>
      <c r="AB610" s="80"/>
      <c r="AC610" s="81"/>
      <c r="AD610" s="81"/>
      <c r="AE610" s="81"/>
      <c r="AF610" s="80"/>
      <c r="AG610" s="81"/>
    </row>
    <row r="611" spans="1:33" s="44" customFormat="1" ht="15" customHeight="1">
      <c r="A611" s="164" t="s">
        <v>733</v>
      </c>
      <c r="B611" s="210" t="s">
        <v>747</v>
      </c>
      <c r="C611" s="208"/>
      <c r="D611" s="167">
        <v>443492</v>
      </c>
      <c r="E611" s="207">
        <v>10</v>
      </c>
      <c r="F611" s="78">
        <f t="shared" si="42"/>
        <v>41041</v>
      </c>
      <c r="G611" s="79">
        <f t="shared" si="43"/>
        <v>38532</v>
      </c>
      <c r="H611" s="80">
        <v>16911</v>
      </c>
      <c r="I611" s="81">
        <v>15415</v>
      </c>
      <c r="J611" s="80">
        <v>16613</v>
      </c>
      <c r="K611" s="81">
        <v>18751</v>
      </c>
      <c r="L611" s="80">
        <v>7517</v>
      </c>
      <c r="M611" s="80">
        <v>0</v>
      </c>
      <c r="N611" s="80">
        <v>0</v>
      </c>
      <c r="O611" s="81">
        <v>4366</v>
      </c>
      <c r="P611" s="81">
        <v>0</v>
      </c>
      <c r="Q611" s="81">
        <v>0</v>
      </c>
      <c r="R611" s="80">
        <v>0</v>
      </c>
      <c r="S611" s="81">
        <v>0</v>
      </c>
      <c r="T611" s="78">
        <f t="shared" si="41"/>
        <v>0</v>
      </c>
      <c r="U611" s="79">
        <f t="shared" si="44"/>
        <v>0</v>
      </c>
      <c r="V611" s="80"/>
      <c r="W611" s="81"/>
      <c r="X611" s="80"/>
      <c r="Y611" s="81"/>
      <c r="Z611" s="80"/>
      <c r="AA611" s="80"/>
      <c r="AB611" s="80"/>
      <c r="AC611" s="81"/>
      <c r="AD611" s="81"/>
      <c r="AE611" s="81"/>
      <c r="AF611" s="80"/>
      <c r="AG611" s="81"/>
    </row>
    <row r="612" spans="1:33">
      <c r="A612" s="164" t="s">
        <v>733</v>
      </c>
      <c r="B612" s="165" t="s">
        <v>748</v>
      </c>
      <c r="C612" s="166" t="s">
        <v>755</v>
      </c>
      <c r="D612" s="167">
        <v>446774</v>
      </c>
      <c r="E612" s="207">
        <v>10</v>
      </c>
      <c r="F612" s="78">
        <f t="shared" si="42"/>
        <v>58674</v>
      </c>
      <c r="G612" s="79">
        <f t="shared" si="43"/>
        <v>60277</v>
      </c>
      <c r="H612" s="80">
        <v>32943</v>
      </c>
      <c r="I612" s="81">
        <v>34659</v>
      </c>
      <c r="J612" s="80">
        <v>11526</v>
      </c>
      <c r="K612" s="81">
        <v>9572</v>
      </c>
      <c r="L612" s="80">
        <v>14205</v>
      </c>
      <c r="M612" s="80">
        <v>0</v>
      </c>
      <c r="N612" s="80">
        <v>0</v>
      </c>
      <c r="O612" s="81">
        <v>16046</v>
      </c>
      <c r="P612" s="81">
        <v>0</v>
      </c>
      <c r="Q612" s="81">
        <v>0</v>
      </c>
      <c r="R612" s="80">
        <v>0</v>
      </c>
      <c r="S612" s="81">
        <v>0</v>
      </c>
      <c r="T612" s="78">
        <f t="shared" si="41"/>
        <v>0</v>
      </c>
      <c r="U612" s="79">
        <f t="shared" si="44"/>
        <v>0</v>
      </c>
      <c r="V612" s="80"/>
      <c r="W612" s="81"/>
      <c r="X612" s="80"/>
      <c r="Y612" s="81"/>
      <c r="Z612" s="80"/>
      <c r="AA612" s="80"/>
      <c r="AB612" s="80"/>
      <c r="AC612" s="81"/>
      <c r="AD612" s="81"/>
      <c r="AE612" s="81"/>
      <c r="AF612" s="80"/>
      <c r="AG612" s="81"/>
    </row>
    <row r="613" spans="1:33">
      <c r="A613" s="164" t="s">
        <v>733</v>
      </c>
      <c r="B613" s="212" t="s">
        <v>749</v>
      </c>
      <c r="C613" s="166" t="s">
        <v>750</v>
      </c>
      <c r="D613" s="213">
        <v>484932</v>
      </c>
      <c r="E613" s="207">
        <v>10</v>
      </c>
      <c r="F613" s="78">
        <f t="shared" si="42"/>
        <v>41698</v>
      </c>
      <c r="G613" s="79">
        <f t="shared" si="43"/>
        <v>40352</v>
      </c>
      <c r="H613" s="80">
        <v>33965</v>
      </c>
      <c r="I613" s="81">
        <v>32122</v>
      </c>
      <c r="J613" s="80">
        <v>460</v>
      </c>
      <c r="K613" s="81">
        <v>139</v>
      </c>
      <c r="L613" s="80">
        <v>7273</v>
      </c>
      <c r="M613" s="80">
        <v>0</v>
      </c>
      <c r="N613" s="80">
        <v>0</v>
      </c>
      <c r="O613" s="81">
        <v>8091</v>
      </c>
      <c r="P613" s="81">
        <v>0</v>
      </c>
      <c r="Q613" s="81">
        <v>0</v>
      </c>
      <c r="R613" s="80">
        <v>0</v>
      </c>
      <c r="S613" s="81">
        <v>0</v>
      </c>
      <c r="T613" s="78">
        <f t="shared" si="41"/>
        <v>0</v>
      </c>
      <c r="U613" s="79">
        <f t="shared" si="44"/>
        <v>0</v>
      </c>
      <c r="V613" s="80"/>
      <c r="W613" s="81"/>
      <c r="X613" s="80"/>
      <c r="Y613" s="81"/>
      <c r="Z613" s="80"/>
      <c r="AA613" s="80"/>
      <c r="AB613" s="80"/>
      <c r="AC613" s="81"/>
      <c r="AD613" s="81"/>
      <c r="AE613" s="81"/>
      <c r="AF613" s="80"/>
      <c r="AG613" s="81"/>
    </row>
    <row r="614" spans="1:33">
      <c r="A614" s="164" t="s">
        <v>733</v>
      </c>
      <c r="B614" s="165" t="s">
        <v>751</v>
      </c>
      <c r="C614" s="166"/>
      <c r="D614" s="167">
        <v>438708</v>
      </c>
      <c r="E614" s="207">
        <v>10</v>
      </c>
      <c r="F614" s="78">
        <f t="shared" si="42"/>
        <v>11326</v>
      </c>
      <c r="G614" s="79">
        <f t="shared" si="43"/>
        <v>8910</v>
      </c>
      <c r="H614" s="80">
        <v>4753</v>
      </c>
      <c r="I614" s="81">
        <v>4018</v>
      </c>
      <c r="J614" s="80">
        <v>3225</v>
      </c>
      <c r="K614" s="81">
        <v>2249</v>
      </c>
      <c r="L614" s="80">
        <v>3348</v>
      </c>
      <c r="M614" s="80">
        <v>0</v>
      </c>
      <c r="N614" s="80">
        <v>0</v>
      </c>
      <c r="O614" s="81">
        <v>2643</v>
      </c>
      <c r="P614" s="81">
        <v>0</v>
      </c>
      <c r="Q614" s="81">
        <v>0</v>
      </c>
      <c r="R614" s="80">
        <v>0</v>
      </c>
      <c r="S614" s="81">
        <v>0</v>
      </c>
      <c r="T614" s="78">
        <f t="shared" si="41"/>
        <v>0</v>
      </c>
      <c r="U614" s="79">
        <f t="shared" si="44"/>
        <v>0</v>
      </c>
      <c r="V614" s="80"/>
      <c r="W614" s="81"/>
      <c r="X614" s="80"/>
      <c r="Y614" s="81"/>
      <c r="Z614" s="80"/>
      <c r="AA614" s="80"/>
      <c r="AB614" s="80"/>
      <c r="AC614" s="81"/>
      <c r="AD614" s="81"/>
      <c r="AE614" s="81"/>
      <c r="AF614" s="80"/>
      <c r="AG614" s="81"/>
    </row>
    <row r="615" spans="1:33">
      <c r="A615" s="164" t="s">
        <v>733</v>
      </c>
      <c r="B615" s="165" t="s">
        <v>752</v>
      </c>
      <c r="C615" s="166"/>
      <c r="D615" s="167">
        <v>444954</v>
      </c>
      <c r="E615" s="207">
        <v>10</v>
      </c>
      <c r="F615" s="78">
        <f t="shared" si="42"/>
        <v>45643</v>
      </c>
      <c r="G615" s="79">
        <f t="shared" si="43"/>
        <v>41265</v>
      </c>
      <c r="H615" s="80">
        <v>25789</v>
      </c>
      <c r="I615" s="81">
        <v>24300</v>
      </c>
      <c r="J615" s="80">
        <v>8524</v>
      </c>
      <c r="K615" s="81">
        <v>5597</v>
      </c>
      <c r="L615" s="80">
        <v>11330</v>
      </c>
      <c r="M615" s="80">
        <v>0</v>
      </c>
      <c r="N615" s="80">
        <v>0</v>
      </c>
      <c r="O615" s="81">
        <v>11368</v>
      </c>
      <c r="P615" s="81">
        <v>0</v>
      </c>
      <c r="Q615" s="81">
        <v>0</v>
      </c>
      <c r="R615" s="80">
        <v>0</v>
      </c>
      <c r="S615" s="81">
        <v>0</v>
      </c>
      <c r="T615" s="78">
        <f t="shared" si="41"/>
        <v>0</v>
      </c>
      <c r="U615" s="79">
        <f t="shared" si="44"/>
        <v>0</v>
      </c>
      <c r="V615" s="80"/>
      <c r="W615" s="81"/>
      <c r="X615" s="80"/>
      <c r="Y615" s="81"/>
      <c r="Z615" s="80"/>
      <c r="AA615" s="80"/>
      <c r="AB615" s="80"/>
      <c r="AC615" s="81"/>
      <c r="AD615" s="81"/>
      <c r="AE615" s="81"/>
      <c r="AF615" s="80"/>
      <c r="AG615" s="81"/>
    </row>
    <row r="616" spans="1:33">
      <c r="A616" s="164" t="s">
        <v>733</v>
      </c>
      <c r="B616" s="165" t="s">
        <v>753</v>
      </c>
      <c r="C616" s="166"/>
      <c r="D616" s="167">
        <v>237817</v>
      </c>
      <c r="E616" s="207">
        <v>10</v>
      </c>
      <c r="F616" s="78">
        <f t="shared" si="42"/>
        <v>38388</v>
      </c>
      <c r="G616" s="79">
        <f t="shared" si="43"/>
        <v>37265</v>
      </c>
      <c r="H616" s="80">
        <v>23322</v>
      </c>
      <c r="I616" s="81">
        <v>20132</v>
      </c>
      <c r="J616" s="80">
        <v>1196</v>
      </c>
      <c r="K616" s="81">
        <v>1167</v>
      </c>
      <c r="L616" s="80">
        <v>11388</v>
      </c>
      <c r="M616" s="80">
        <v>2482</v>
      </c>
      <c r="N616" s="80">
        <v>0</v>
      </c>
      <c r="O616" s="81">
        <v>12714</v>
      </c>
      <c r="P616" s="81">
        <v>3252</v>
      </c>
      <c r="Q616" s="81">
        <v>0</v>
      </c>
      <c r="R616" s="80">
        <v>0</v>
      </c>
      <c r="S616" s="81">
        <v>0</v>
      </c>
      <c r="T616" s="78">
        <f t="shared" si="41"/>
        <v>0</v>
      </c>
      <c r="U616" s="79">
        <f t="shared" si="44"/>
        <v>0</v>
      </c>
      <c r="V616" s="80"/>
      <c r="W616" s="81"/>
      <c r="X616" s="80"/>
      <c r="Y616" s="81"/>
      <c r="Z616" s="80"/>
      <c r="AA616" s="80"/>
      <c r="AB616" s="80"/>
      <c r="AC616" s="81"/>
      <c r="AD616" s="81"/>
      <c r="AE616" s="81"/>
      <c r="AF616" s="80"/>
      <c r="AG616" s="81"/>
    </row>
    <row r="617" spans="1:33">
      <c r="A617" s="164" t="s">
        <v>733</v>
      </c>
      <c r="B617" s="165" t="s">
        <v>754</v>
      </c>
      <c r="C617" s="168"/>
      <c r="D617" s="167">
        <v>238014</v>
      </c>
      <c r="E617" s="207">
        <v>10</v>
      </c>
      <c r="F617" s="78">
        <f t="shared" si="42"/>
        <v>37817</v>
      </c>
      <c r="G617" s="79">
        <f t="shared" si="43"/>
        <v>35866</v>
      </c>
      <c r="H617" s="80">
        <v>25674</v>
      </c>
      <c r="I617" s="81">
        <v>22974</v>
      </c>
      <c r="J617" s="80">
        <v>0</v>
      </c>
      <c r="K617" s="81">
        <v>0</v>
      </c>
      <c r="L617" s="80">
        <v>10011</v>
      </c>
      <c r="M617" s="80">
        <v>2132</v>
      </c>
      <c r="N617" s="80">
        <v>0</v>
      </c>
      <c r="O617" s="81">
        <v>10725</v>
      </c>
      <c r="P617" s="81">
        <v>2167</v>
      </c>
      <c r="Q617" s="81">
        <v>0</v>
      </c>
      <c r="R617" s="80">
        <v>0</v>
      </c>
      <c r="S617" s="81">
        <v>0</v>
      </c>
      <c r="T617" s="78">
        <f t="shared" si="41"/>
        <v>0</v>
      </c>
      <c r="U617" s="79">
        <f t="shared" si="44"/>
        <v>0</v>
      </c>
      <c r="V617" s="80"/>
      <c r="W617" s="81"/>
      <c r="X617" s="80"/>
      <c r="Y617" s="81"/>
      <c r="Z617" s="80"/>
      <c r="AA617" s="80"/>
      <c r="AB617" s="80"/>
      <c r="AC617" s="81"/>
      <c r="AD617" s="81"/>
      <c r="AE617" s="81"/>
      <c r="AF617" s="80"/>
      <c r="AG617" s="81"/>
    </row>
    <row r="618" spans="1:33">
      <c r="A618" s="214" t="s">
        <v>733</v>
      </c>
      <c r="B618" s="215" t="s">
        <v>756</v>
      </c>
      <c r="C618" s="216"/>
      <c r="D618" s="217">
        <v>237729</v>
      </c>
      <c r="E618" s="217">
        <v>14</v>
      </c>
      <c r="F618" s="78">
        <f t="shared" si="42"/>
        <v>0</v>
      </c>
      <c r="G618" s="79">
        <f t="shared" si="43"/>
        <v>0</v>
      </c>
      <c r="H618" s="80"/>
      <c r="I618" s="81"/>
      <c r="J618" s="80"/>
      <c r="K618" s="81"/>
      <c r="L618" s="80"/>
      <c r="M618" s="80"/>
      <c r="N618" s="80"/>
      <c r="O618" s="81"/>
      <c r="P618" s="81"/>
      <c r="Q618" s="81"/>
      <c r="R618" s="80"/>
      <c r="S618" s="81"/>
      <c r="T618" s="78">
        <f t="shared" si="41"/>
        <v>0</v>
      </c>
      <c r="U618" s="79">
        <f t="shared" si="44"/>
        <v>0</v>
      </c>
      <c r="V618" s="80"/>
      <c r="W618" s="81"/>
      <c r="X618" s="80"/>
      <c r="Y618" s="81"/>
      <c r="Z618" s="80"/>
      <c r="AA618" s="80"/>
      <c r="AB618" s="80"/>
      <c r="AC618" s="81"/>
      <c r="AD618" s="81"/>
      <c r="AE618" s="81"/>
      <c r="AF618" s="80"/>
      <c r="AG618" s="81"/>
    </row>
    <row r="619" spans="1:33" customFormat="1" ht="12.6" customHeight="1">
      <c r="A619" s="214" t="s">
        <v>733</v>
      </c>
      <c r="B619" s="215" t="s">
        <v>757</v>
      </c>
      <c r="C619" s="216"/>
      <c r="D619" s="217">
        <v>237172</v>
      </c>
      <c r="E619" s="217">
        <v>14</v>
      </c>
      <c r="F619" s="78">
        <f t="shared" si="42"/>
        <v>0</v>
      </c>
      <c r="G619" s="79">
        <f t="shared" si="43"/>
        <v>0</v>
      </c>
      <c r="H619" s="80"/>
      <c r="I619" s="81"/>
      <c r="J619" s="80"/>
      <c r="K619" s="81"/>
      <c r="L619" s="80"/>
      <c r="M619" s="80"/>
      <c r="N619" s="80"/>
      <c r="O619" s="81"/>
      <c r="P619" s="81"/>
      <c r="Q619" s="81"/>
      <c r="R619" s="80"/>
      <c r="S619" s="81"/>
      <c r="T619" s="78">
        <f t="shared" si="41"/>
        <v>0</v>
      </c>
      <c r="U619" s="79">
        <f t="shared" si="44"/>
        <v>0</v>
      </c>
      <c r="V619" s="80"/>
      <c r="W619" s="81"/>
      <c r="X619" s="80"/>
      <c r="Y619" s="81"/>
      <c r="Z619" s="80"/>
      <c r="AA619" s="80"/>
      <c r="AB619" s="80"/>
      <c r="AC619" s="81"/>
      <c r="AD619" s="81"/>
      <c r="AE619" s="81"/>
      <c r="AF619" s="80"/>
      <c r="AG619" s="81"/>
    </row>
    <row r="620" spans="1:33" customFormat="1" ht="12.6" customHeight="1">
      <c r="A620" s="218" t="s">
        <v>733</v>
      </c>
      <c r="B620" s="216" t="s">
        <v>758</v>
      </c>
      <c r="C620" s="216"/>
      <c r="D620" s="217">
        <v>237224</v>
      </c>
      <c r="E620" s="217">
        <v>14</v>
      </c>
      <c r="F620" s="78">
        <f t="shared" si="42"/>
        <v>0</v>
      </c>
      <c r="G620" s="79">
        <f t="shared" si="43"/>
        <v>0</v>
      </c>
      <c r="H620" s="80"/>
      <c r="I620" s="81"/>
      <c r="J620" s="80"/>
      <c r="K620" s="81"/>
      <c r="L620" s="80"/>
      <c r="M620" s="80"/>
      <c r="N620" s="80"/>
      <c r="O620" s="81"/>
      <c r="P620" s="81"/>
      <c r="Q620" s="81"/>
      <c r="R620" s="80"/>
      <c r="S620" s="81"/>
      <c r="T620" s="78">
        <f t="shared" si="41"/>
        <v>0</v>
      </c>
      <c r="U620" s="79">
        <f t="shared" si="44"/>
        <v>0</v>
      </c>
      <c r="V620" s="80"/>
      <c r="W620" s="81"/>
      <c r="X620" s="80"/>
      <c r="Y620" s="81"/>
      <c r="Z620" s="80"/>
      <c r="AA620" s="80"/>
      <c r="AB620" s="80"/>
      <c r="AC620" s="81"/>
      <c r="AD620" s="81"/>
      <c r="AE620" s="81"/>
      <c r="AF620" s="80"/>
      <c r="AG620" s="81"/>
    </row>
    <row r="621" spans="1:33" customFormat="1" ht="12.6" customHeight="1">
      <c r="A621" s="218" t="s">
        <v>733</v>
      </c>
      <c r="B621" s="215" t="s">
        <v>759</v>
      </c>
      <c r="C621" s="216"/>
      <c r="D621" s="217">
        <v>237242</v>
      </c>
      <c r="E621" s="217">
        <v>14</v>
      </c>
      <c r="F621" s="78">
        <f t="shared" si="42"/>
        <v>0</v>
      </c>
      <c r="G621" s="79">
        <f t="shared" si="43"/>
        <v>0</v>
      </c>
      <c r="H621" s="80"/>
      <c r="I621" s="81"/>
      <c r="J621" s="80"/>
      <c r="K621" s="81"/>
      <c r="L621" s="80"/>
      <c r="M621" s="80"/>
      <c r="N621" s="80"/>
      <c r="O621" s="81"/>
      <c r="P621" s="81"/>
      <c r="Q621" s="81"/>
      <c r="R621" s="80"/>
      <c r="S621" s="81"/>
      <c r="T621" s="78">
        <f t="shared" si="41"/>
        <v>0</v>
      </c>
      <c r="U621" s="79">
        <f t="shared" si="44"/>
        <v>0</v>
      </c>
      <c r="V621" s="80"/>
      <c r="W621" s="81"/>
      <c r="X621" s="80"/>
      <c r="Y621" s="81"/>
      <c r="Z621" s="80"/>
      <c r="AA621" s="80"/>
      <c r="AB621" s="80"/>
      <c r="AC621" s="81"/>
      <c r="AD621" s="81"/>
      <c r="AE621" s="81"/>
      <c r="AF621" s="80"/>
      <c r="AG621" s="81"/>
    </row>
    <row r="622" spans="1:33" customFormat="1" ht="12.6" customHeight="1">
      <c r="A622" s="214" t="s">
        <v>733</v>
      </c>
      <c r="B622" s="215" t="s">
        <v>760</v>
      </c>
      <c r="C622" s="216"/>
      <c r="D622" s="217">
        <v>430795</v>
      </c>
      <c r="E622" s="217">
        <v>14</v>
      </c>
      <c r="F622" s="78">
        <f t="shared" si="42"/>
        <v>0</v>
      </c>
      <c r="G622" s="79">
        <f t="shared" si="43"/>
        <v>0</v>
      </c>
      <c r="H622" s="80"/>
      <c r="I622" s="81"/>
      <c r="J622" s="80"/>
      <c r="K622" s="81"/>
      <c r="L622" s="80"/>
      <c r="M622" s="80"/>
      <c r="N622" s="80"/>
      <c r="O622" s="81"/>
      <c r="P622" s="81"/>
      <c r="Q622" s="81"/>
      <c r="R622" s="80"/>
      <c r="S622" s="81"/>
      <c r="T622" s="78">
        <f t="shared" si="41"/>
        <v>0</v>
      </c>
      <c r="U622" s="79">
        <f t="shared" si="44"/>
        <v>0</v>
      </c>
      <c r="V622" s="80"/>
      <c r="W622" s="81"/>
      <c r="X622" s="80"/>
      <c r="Y622" s="81"/>
      <c r="Z622" s="80"/>
      <c r="AA622" s="80"/>
      <c r="AB622" s="80"/>
      <c r="AC622" s="81"/>
      <c r="AD622" s="81"/>
      <c r="AE622" s="81"/>
      <c r="AF622" s="80"/>
      <c r="AG622" s="81"/>
    </row>
    <row r="623" spans="1:33" customFormat="1" ht="12.6" customHeight="1">
      <c r="A623" s="214" t="s">
        <v>733</v>
      </c>
      <c r="B623" s="216" t="s">
        <v>761</v>
      </c>
      <c r="C623" s="216"/>
      <c r="D623" s="217">
        <v>413176</v>
      </c>
      <c r="E623" s="217">
        <v>14</v>
      </c>
      <c r="F623" s="78">
        <f t="shared" si="42"/>
        <v>0</v>
      </c>
      <c r="G623" s="79">
        <f t="shared" si="43"/>
        <v>0</v>
      </c>
      <c r="H623" s="80"/>
      <c r="I623" s="81"/>
      <c r="J623" s="80"/>
      <c r="K623" s="81"/>
      <c r="L623" s="80"/>
      <c r="M623" s="80"/>
      <c r="N623" s="80"/>
      <c r="O623" s="81"/>
      <c r="P623" s="81"/>
      <c r="Q623" s="81"/>
      <c r="R623" s="80"/>
      <c r="S623" s="81"/>
      <c r="T623" s="78">
        <f t="shared" si="41"/>
        <v>0</v>
      </c>
      <c r="U623" s="79">
        <f t="shared" si="44"/>
        <v>0</v>
      </c>
      <c r="V623" s="80"/>
      <c r="W623" s="81"/>
      <c r="X623" s="80"/>
      <c r="Y623" s="81"/>
      <c r="Z623" s="80"/>
      <c r="AA623" s="80"/>
      <c r="AB623" s="80"/>
      <c r="AC623" s="81"/>
      <c r="AD623" s="81"/>
      <c r="AE623" s="81"/>
      <c r="AF623" s="80"/>
      <c r="AG623" s="81"/>
    </row>
    <row r="624" spans="1:33" customFormat="1" ht="12.6" customHeight="1">
      <c r="A624" s="218" t="s">
        <v>733</v>
      </c>
      <c r="B624" s="216" t="s">
        <v>762</v>
      </c>
      <c r="C624" s="216"/>
      <c r="D624" s="217">
        <v>237844</v>
      </c>
      <c r="E624" s="217">
        <v>14</v>
      </c>
      <c r="F624" s="78">
        <f t="shared" si="42"/>
        <v>0</v>
      </c>
      <c r="G624" s="79">
        <f t="shared" si="43"/>
        <v>0</v>
      </c>
      <c r="H624" s="80"/>
      <c r="I624" s="81"/>
      <c r="J624" s="80"/>
      <c r="K624" s="81"/>
      <c r="L624" s="80"/>
      <c r="M624" s="80"/>
      <c r="N624" s="80"/>
      <c r="O624" s="81"/>
      <c r="P624" s="81"/>
      <c r="Q624" s="81"/>
      <c r="R624" s="80"/>
      <c r="S624" s="81"/>
      <c r="T624" s="78">
        <f t="shared" ref="T624:T643" si="45">SUM(V624,X624,Z624,AA624,AB624,AF624)</f>
        <v>0</v>
      </c>
      <c r="U624" s="79">
        <f t="shared" si="44"/>
        <v>0</v>
      </c>
      <c r="V624" s="80"/>
      <c r="W624" s="81"/>
      <c r="X624" s="80"/>
      <c r="Y624" s="81"/>
      <c r="Z624" s="80"/>
      <c r="AA624" s="80"/>
      <c r="AB624" s="80"/>
      <c r="AC624" s="81"/>
      <c r="AD624" s="81"/>
      <c r="AE624" s="81"/>
      <c r="AF624" s="80"/>
      <c r="AG624" s="81"/>
    </row>
    <row r="625" spans="1:33" customFormat="1" ht="12.6" customHeight="1">
      <c r="A625" s="218" t="s">
        <v>733</v>
      </c>
      <c r="B625" s="216" t="s">
        <v>763</v>
      </c>
      <c r="C625" s="216"/>
      <c r="D625" s="217">
        <v>431169</v>
      </c>
      <c r="E625" s="217">
        <v>14</v>
      </c>
      <c r="F625" s="78">
        <f t="shared" si="42"/>
        <v>0</v>
      </c>
      <c r="G625" s="79">
        <f t="shared" si="43"/>
        <v>0</v>
      </c>
      <c r="H625" s="80"/>
      <c r="I625" s="81"/>
      <c r="J625" s="80"/>
      <c r="K625" s="81"/>
      <c r="L625" s="80"/>
      <c r="M625" s="80"/>
      <c r="N625" s="80"/>
      <c r="O625" s="81"/>
      <c r="P625" s="81"/>
      <c r="Q625" s="81"/>
      <c r="R625" s="80"/>
      <c r="S625" s="81"/>
      <c r="T625" s="78">
        <f t="shared" si="45"/>
        <v>0</v>
      </c>
      <c r="U625" s="79">
        <f t="shared" si="44"/>
        <v>0</v>
      </c>
      <c r="V625" s="80"/>
      <c r="W625" s="81"/>
      <c r="X625" s="80"/>
      <c r="Y625" s="81"/>
      <c r="Z625" s="80"/>
      <c r="AA625" s="80"/>
      <c r="AB625" s="80"/>
      <c r="AC625" s="81"/>
      <c r="AD625" s="81"/>
      <c r="AE625" s="81"/>
      <c r="AF625" s="80"/>
      <c r="AG625" s="81"/>
    </row>
    <row r="626" spans="1:33" customFormat="1" ht="12.6" customHeight="1">
      <c r="A626" s="214" t="s">
        <v>733</v>
      </c>
      <c r="B626" s="216" t="s">
        <v>764</v>
      </c>
      <c r="C626" s="216"/>
      <c r="D626" s="217">
        <v>237473</v>
      </c>
      <c r="E626" s="217">
        <v>14</v>
      </c>
      <c r="F626" s="78">
        <f t="shared" si="42"/>
        <v>0</v>
      </c>
      <c r="G626" s="79">
        <f t="shared" si="43"/>
        <v>0</v>
      </c>
      <c r="H626" s="80"/>
      <c r="I626" s="81"/>
      <c r="J626" s="80"/>
      <c r="K626" s="81"/>
      <c r="L626" s="80"/>
      <c r="M626" s="80"/>
      <c r="N626" s="80"/>
      <c r="O626" s="81"/>
      <c r="P626" s="81"/>
      <c r="Q626" s="81"/>
      <c r="R626" s="80"/>
      <c r="S626" s="81"/>
      <c r="T626" s="78">
        <f t="shared" si="45"/>
        <v>0</v>
      </c>
      <c r="U626" s="79">
        <f t="shared" si="44"/>
        <v>0</v>
      </c>
      <c r="V626" s="80"/>
      <c r="W626" s="81"/>
      <c r="X626" s="80"/>
      <c r="Y626" s="81"/>
      <c r="Z626" s="80"/>
      <c r="AA626" s="80"/>
      <c r="AB626" s="80"/>
      <c r="AC626" s="81"/>
      <c r="AD626" s="81"/>
      <c r="AE626" s="81"/>
      <c r="AF626" s="80"/>
      <c r="AG626" s="81"/>
    </row>
    <row r="627" spans="1:33" customFormat="1" ht="12.6" customHeight="1">
      <c r="A627" s="218" t="s">
        <v>733</v>
      </c>
      <c r="B627" s="216" t="s">
        <v>765</v>
      </c>
      <c r="C627" s="216"/>
      <c r="D627" s="217">
        <v>446349</v>
      </c>
      <c r="E627" s="217">
        <v>14</v>
      </c>
      <c r="F627" s="78">
        <f t="shared" si="42"/>
        <v>0</v>
      </c>
      <c r="G627" s="79">
        <f t="shared" si="43"/>
        <v>0</v>
      </c>
      <c r="H627" s="80"/>
      <c r="I627" s="81"/>
      <c r="J627" s="80"/>
      <c r="K627" s="81"/>
      <c r="L627" s="80"/>
      <c r="M627" s="80"/>
      <c r="N627" s="80"/>
      <c r="O627" s="81"/>
      <c r="P627" s="81"/>
      <c r="Q627" s="81"/>
      <c r="R627" s="80"/>
      <c r="S627" s="81"/>
      <c r="T627" s="78">
        <f t="shared" si="45"/>
        <v>0</v>
      </c>
      <c r="U627" s="79">
        <f t="shared" si="44"/>
        <v>0</v>
      </c>
      <c r="V627" s="80"/>
      <c r="W627" s="81"/>
      <c r="X627" s="80"/>
      <c r="Y627" s="81"/>
      <c r="Z627" s="80"/>
      <c r="AA627" s="80"/>
      <c r="AB627" s="80"/>
      <c r="AC627" s="81"/>
      <c r="AD627" s="81"/>
      <c r="AE627" s="81"/>
      <c r="AF627" s="80"/>
      <c r="AG627" s="81"/>
    </row>
    <row r="628" spans="1:33" customFormat="1" ht="12.6" customHeight="1">
      <c r="A628" s="218" t="s">
        <v>733</v>
      </c>
      <c r="B628" s="216" t="s">
        <v>766</v>
      </c>
      <c r="C628" s="216"/>
      <c r="D628" s="217">
        <v>237516</v>
      </c>
      <c r="E628" s="217">
        <v>14</v>
      </c>
      <c r="F628" s="78">
        <f t="shared" ref="F628:F643" si="46">SUM(H628,J628,L628,M628,N628,R628)</f>
        <v>0</v>
      </c>
      <c r="G628" s="79">
        <f t="shared" ref="G628:G643" si="47">SUM(I628,K628,O628,P628,Q628,S628)</f>
        <v>0</v>
      </c>
      <c r="H628" s="80"/>
      <c r="I628" s="81"/>
      <c r="J628" s="80"/>
      <c r="K628" s="81"/>
      <c r="L628" s="80"/>
      <c r="M628" s="80"/>
      <c r="N628" s="80"/>
      <c r="O628" s="81"/>
      <c r="P628" s="81"/>
      <c r="Q628" s="81"/>
      <c r="R628" s="80"/>
      <c r="S628" s="81"/>
      <c r="T628" s="78">
        <f t="shared" si="45"/>
        <v>0</v>
      </c>
      <c r="U628" s="79">
        <f t="shared" ref="U628:U643" si="48">SUM(W628,Y628,AC628,AD628,AE628,AG628)</f>
        <v>0</v>
      </c>
      <c r="V628" s="80"/>
      <c r="W628" s="81"/>
      <c r="X628" s="80"/>
      <c r="Y628" s="81"/>
      <c r="Z628" s="80"/>
      <c r="AA628" s="80"/>
      <c r="AB628" s="80"/>
      <c r="AC628" s="81"/>
      <c r="AD628" s="81"/>
      <c r="AE628" s="81"/>
      <c r="AF628" s="80"/>
      <c r="AG628" s="81"/>
    </row>
    <row r="629" spans="1:33" customFormat="1" ht="12.6" customHeight="1">
      <c r="A629" s="218" t="s">
        <v>733</v>
      </c>
      <c r="B629" s="216" t="s">
        <v>767</v>
      </c>
      <c r="C629" s="216"/>
      <c r="D629" s="217">
        <v>237534</v>
      </c>
      <c r="E629" s="217">
        <v>14</v>
      </c>
      <c r="F629" s="78">
        <f t="shared" si="46"/>
        <v>0</v>
      </c>
      <c r="G629" s="79">
        <f t="shared" si="47"/>
        <v>0</v>
      </c>
      <c r="H629" s="80"/>
      <c r="I629" s="81"/>
      <c r="J629" s="80"/>
      <c r="K629" s="81"/>
      <c r="L629" s="80"/>
      <c r="M629" s="80"/>
      <c r="N629" s="80"/>
      <c r="O629" s="81"/>
      <c r="P629" s="81"/>
      <c r="Q629" s="81"/>
      <c r="R629" s="80"/>
      <c r="S629" s="81"/>
      <c r="T629" s="78">
        <f t="shared" si="45"/>
        <v>0</v>
      </c>
      <c r="U629" s="79">
        <f t="shared" si="48"/>
        <v>0</v>
      </c>
      <c r="V629" s="80"/>
      <c r="W629" s="81"/>
      <c r="X629" s="80"/>
      <c r="Y629" s="81"/>
      <c r="Z629" s="80"/>
      <c r="AA629" s="80"/>
      <c r="AB629" s="80"/>
      <c r="AC629" s="81"/>
      <c r="AD629" s="81"/>
      <c r="AE629" s="81"/>
      <c r="AF629" s="80"/>
      <c r="AG629" s="81"/>
    </row>
    <row r="630" spans="1:33" customFormat="1" ht="12.6" customHeight="1">
      <c r="A630" s="214" t="s">
        <v>733</v>
      </c>
      <c r="B630" s="215" t="s">
        <v>768</v>
      </c>
      <c r="C630" s="216"/>
      <c r="D630" s="217">
        <v>237543</v>
      </c>
      <c r="E630" s="217">
        <v>14</v>
      </c>
      <c r="F630" s="78">
        <f t="shared" si="46"/>
        <v>0</v>
      </c>
      <c r="G630" s="79">
        <f t="shared" si="47"/>
        <v>0</v>
      </c>
      <c r="H630" s="80"/>
      <c r="I630" s="81"/>
      <c r="J630" s="80"/>
      <c r="K630" s="81"/>
      <c r="L630" s="80"/>
      <c r="M630" s="80"/>
      <c r="N630" s="80"/>
      <c r="O630" s="81"/>
      <c r="P630" s="81"/>
      <c r="Q630" s="81"/>
      <c r="R630" s="80"/>
      <c r="S630" s="81"/>
      <c r="T630" s="78">
        <f t="shared" si="45"/>
        <v>0</v>
      </c>
      <c r="U630" s="79">
        <f t="shared" si="48"/>
        <v>0</v>
      </c>
      <c r="V630" s="80"/>
      <c r="W630" s="81"/>
      <c r="X630" s="80"/>
      <c r="Y630" s="81"/>
      <c r="Z630" s="80"/>
      <c r="AA630" s="80"/>
      <c r="AB630" s="80"/>
      <c r="AC630" s="81"/>
      <c r="AD630" s="81"/>
      <c r="AE630" s="81"/>
      <c r="AF630" s="80"/>
      <c r="AG630" s="81"/>
    </row>
    <row r="631" spans="1:33" customFormat="1" ht="12.6" customHeight="1">
      <c r="A631" s="218" t="s">
        <v>733</v>
      </c>
      <c r="B631" s="216" t="s">
        <v>769</v>
      </c>
      <c r="C631" s="216"/>
      <c r="D631" s="217">
        <v>368647</v>
      </c>
      <c r="E631" s="217">
        <v>14</v>
      </c>
      <c r="F631" s="78">
        <f t="shared" si="46"/>
        <v>0</v>
      </c>
      <c r="G631" s="79">
        <f t="shared" si="47"/>
        <v>0</v>
      </c>
      <c r="H631" s="80"/>
      <c r="I631" s="81"/>
      <c r="J631" s="80"/>
      <c r="K631" s="81"/>
      <c r="L631" s="80"/>
      <c r="M631" s="80"/>
      <c r="N631" s="80"/>
      <c r="O631" s="81"/>
      <c r="P631" s="81"/>
      <c r="Q631" s="81"/>
      <c r="R631" s="80"/>
      <c r="S631" s="81"/>
      <c r="T631" s="78">
        <f t="shared" si="45"/>
        <v>0</v>
      </c>
      <c r="U631" s="79">
        <f t="shared" si="48"/>
        <v>0</v>
      </c>
      <c r="V631" s="80"/>
      <c r="W631" s="81"/>
      <c r="X631" s="80"/>
      <c r="Y631" s="81"/>
      <c r="Z631" s="80"/>
      <c r="AA631" s="80"/>
      <c r="AB631" s="80"/>
      <c r="AC631" s="81"/>
      <c r="AD631" s="81"/>
      <c r="AE631" s="81"/>
      <c r="AF631" s="80"/>
      <c r="AG631" s="81"/>
    </row>
    <row r="632" spans="1:33" customFormat="1" ht="12.6" customHeight="1">
      <c r="A632" s="218" t="s">
        <v>733</v>
      </c>
      <c r="B632" s="216" t="s">
        <v>770</v>
      </c>
      <c r="C632" s="216"/>
      <c r="D632" s="217">
        <v>237561</v>
      </c>
      <c r="E632" s="217">
        <v>14</v>
      </c>
      <c r="F632" s="78">
        <f t="shared" si="46"/>
        <v>0</v>
      </c>
      <c r="G632" s="79">
        <f t="shared" si="47"/>
        <v>0</v>
      </c>
      <c r="H632" s="80"/>
      <c r="I632" s="81"/>
      <c r="J632" s="80"/>
      <c r="K632" s="81"/>
      <c r="L632" s="80"/>
      <c r="M632" s="80"/>
      <c r="N632" s="80"/>
      <c r="O632" s="81"/>
      <c r="P632" s="81"/>
      <c r="Q632" s="81"/>
      <c r="R632" s="80"/>
      <c r="S632" s="81"/>
      <c r="T632" s="78">
        <f t="shared" si="45"/>
        <v>0</v>
      </c>
      <c r="U632" s="79">
        <f t="shared" si="48"/>
        <v>0</v>
      </c>
      <c r="V632" s="80"/>
      <c r="W632" s="81"/>
      <c r="X632" s="80"/>
      <c r="Y632" s="81"/>
      <c r="Z632" s="80"/>
      <c r="AA632" s="80"/>
      <c r="AB632" s="80"/>
      <c r="AC632" s="81"/>
      <c r="AD632" s="81"/>
      <c r="AE632" s="81"/>
      <c r="AF632" s="80"/>
      <c r="AG632" s="81"/>
    </row>
    <row r="633" spans="1:33" customFormat="1" ht="12.6" customHeight="1">
      <c r="A633" s="218" t="s">
        <v>733</v>
      </c>
      <c r="B633" s="215" t="s">
        <v>771</v>
      </c>
      <c r="C633" s="216"/>
      <c r="D633" s="217">
        <v>419420</v>
      </c>
      <c r="E633" s="217">
        <v>14</v>
      </c>
      <c r="F633" s="78">
        <f t="shared" si="46"/>
        <v>0</v>
      </c>
      <c r="G633" s="79">
        <f t="shared" si="47"/>
        <v>0</v>
      </c>
      <c r="H633" s="80"/>
      <c r="I633" s="81"/>
      <c r="J633" s="80"/>
      <c r="K633" s="81"/>
      <c r="L633" s="80"/>
      <c r="M633" s="80"/>
      <c r="N633" s="80"/>
      <c r="O633" s="81"/>
      <c r="P633" s="81"/>
      <c r="Q633" s="81"/>
      <c r="R633" s="80"/>
      <c r="S633" s="81"/>
      <c r="T633" s="78">
        <f t="shared" si="45"/>
        <v>0</v>
      </c>
      <c r="U633" s="79">
        <f t="shared" si="48"/>
        <v>0</v>
      </c>
      <c r="V633" s="80"/>
      <c r="W633" s="81"/>
      <c r="X633" s="80"/>
      <c r="Y633" s="81"/>
      <c r="Z633" s="80"/>
      <c r="AA633" s="80"/>
      <c r="AB633" s="80"/>
      <c r="AC633" s="81"/>
      <c r="AD633" s="81"/>
      <c r="AE633" s="81"/>
      <c r="AF633" s="80"/>
      <c r="AG633" s="81"/>
    </row>
    <row r="634" spans="1:33" customFormat="1" ht="12.6" customHeight="1">
      <c r="A634" s="218" t="s">
        <v>733</v>
      </c>
      <c r="B634" s="215" t="s">
        <v>772</v>
      </c>
      <c r="C634" s="216"/>
      <c r="D634" s="217">
        <v>237491</v>
      </c>
      <c r="E634" s="217">
        <v>14</v>
      </c>
      <c r="F634" s="78">
        <f t="shared" si="46"/>
        <v>0</v>
      </c>
      <c r="G634" s="79">
        <f t="shared" si="47"/>
        <v>0</v>
      </c>
      <c r="H634" s="80"/>
      <c r="I634" s="81"/>
      <c r="J634" s="80"/>
      <c r="K634" s="81"/>
      <c r="L634" s="80"/>
      <c r="M634" s="80"/>
      <c r="N634" s="80"/>
      <c r="O634" s="81"/>
      <c r="P634" s="81"/>
      <c r="Q634" s="81"/>
      <c r="R634" s="80"/>
      <c r="S634" s="81"/>
      <c r="T634" s="78">
        <f t="shared" si="45"/>
        <v>0</v>
      </c>
      <c r="U634" s="79">
        <f t="shared" si="48"/>
        <v>0</v>
      </c>
      <c r="V634" s="80"/>
      <c r="W634" s="81"/>
      <c r="X634" s="80"/>
      <c r="Y634" s="81"/>
      <c r="Z634" s="80"/>
      <c r="AA634" s="80"/>
      <c r="AB634" s="80"/>
      <c r="AC634" s="81"/>
      <c r="AD634" s="81"/>
      <c r="AE634" s="81"/>
      <c r="AF634" s="80"/>
      <c r="AG634" s="81"/>
    </row>
    <row r="635" spans="1:33" customFormat="1" ht="12.6" customHeight="1">
      <c r="A635" s="218" t="s">
        <v>733</v>
      </c>
      <c r="B635" s="216" t="s">
        <v>773</v>
      </c>
      <c r="C635" s="216"/>
      <c r="D635" s="217">
        <v>364575</v>
      </c>
      <c r="E635" s="217">
        <v>14</v>
      </c>
      <c r="F635" s="78">
        <f t="shared" si="46"/>
        <v>0</v>
      </c>
      <c r="G635" s="79">
        <f t="shared" si="47"/>
        <v>0</v>
      </c>
      <c r="H635" s="80"/>
      <c r="I635" s="81"/>
      <c r="J635" s="80"/>
      <c r="K635" s="81"/>
      <c r="L635" s="80"/>
      <c r="M635" s="80"/>
      <c r="N635" s="80"/>
      <c r="O635" s="81"/>
      <c r="P635" s="81"/>
      <c r="Q635" s="81"/>
      <c r="R635" s="80"/>
      <c r="S635" s="81"/>
      <c r="T635" s="78">
        <f t="shared" si="45"/>
        <v>0</v>
      </c>
      <c r="U635" s="79">
        <f t="shared" si="48"/>
        <v>0</v>
      </c>
      <c r="V635" s="80"/>
      <c r="W635" s="81"/>
      <c r="X635" s="80"/>
      <c r="Y635" s="81"/>
      <c r="Z635" s="80"/>
      <c r="AA635" s="80"/>
      <c r="AB635" s="80"/>
      <c r="AC635" s="81"/>
      <c r="AD635" s="81"/>
      <c r="AE635" s="81"/>
      <c r="AF635" s="80"/>
      <c r="AG635" s="81"/>
    </row>
    <row r="636" spans="1:33" customFormat="1" ht="12.6" customHeight="1">
      <c r="A636" s="218" t="s">
        <v>733</v>
      </c>
      <c r="B636" s="216" t="s">
        <v>774</v>
      </c>
      <c r="C636" s="216"/>
      <c r="D636" s="217">
        <v>441894</v>
      </c>
      <c r="E636" s="217">
        <v>14</v>
      </c>
      <c r="F636" s="78">
        <f t="shared" si="46"/>
        <v>0</v>
      </c>
      <c r="G636" s="79">
        <f t="shared" si="47"/>
        <v>0</v>
      </c>
      <c r="H636" s="80"/>
      <c r="I636" s="81"/>
      <c r="J636" s="80"/>
      <c r="K636" s="81"/>
      <c r="L636" s="80"/>
      <c r="M636" s="80"/>
      <c r="N636" s="80"/>
      <c r="O636" s="81"/>
      <c r="P636" s="81"/>
      <c r="Q636" s="81"/>
      <c r="R636" s="80"/>
      <c r="S636" s="81"/>
      <c r="T636" s="78">
        <f t="shared" si="45"/>
        <v>0</v>
      </c>
      <c r="U636" s="79">
        <f t="shared" si="48"/>
        <v>0</v>
      </c>
      <c r="V636" s="80"/>
      <c r="W636" s="81"/>
      <c r="X636" s="80"/>
      <c r="Y636" s="81"/>
      <c r="Z636" s="80"/>
      <c r="AA636" s="80"/>
      <c r="AB636" s="80"/>
      <c r="AC636" s="81"/>
      <c r="AD636" s="81"/>
      <c r="AE636" s="81"/>
      <c r="AF636" s="80"/>
      <c r="AG636" s="81"/>
    </row>
    <row r="637" spans="1:33" customFormat="1" ht="12.6" customHeight="1">
      <c r="A637" s="218" t="s">
        <v>733</v>
      </c>
      <c r="B637" s="216" t="s">
        <v>775</v>
      </c>
      <c r="C637" s="216"/>
      <c r="D637" s="217">
        <v>419031</v>
      </c>
      <c r="E637" s="217">
        <v>14</v>
      </c>
      <c r="F637" s="78">
        <f t="shared" si="46"/>
        <v>0</v>
      </c>
      <c r="G637" s="79">
        <f t="shared" si="47"/>
        <v>0</v>
      </c>
      <c r="H637" s="80"/>
      <c r="I637" s="81"/>
      <c r="J637" s="80"/>
      <c r="K637" s="81"/>
      <c r="L637" s="80"/>
      <c r="M637" s="80"/>
      <c r="N637" s="80"/>
      <c r="O637" s="81"/>
      <c r="P637" s="81"/>
      <c r="Q637" s="81"/>
      <c r="R637" s="80"/>
      <c r="S637" s="81"/>
      <c r="T637" s="78">
        <f t="shared" si="45"/>
        <v>0</v>
      </c>
      <c r="U637" s="79">
        <f t="shared" si="48"/>
        <v>0</v>
      </c>
      <c r="V637" s="80"/>
      <c r="W637" s="81"/>
      <c r="X637" s="80"/>
      <c r="Y637" s="81"/>
      <c r="Z637" s="80"/>
      <c r="AA637" s="80"/>
      <c r="AB637" s="80"/>
      <c r="AC637" s="81"/>
      <c r="AD637" s="81"/>
      <c r="AE637" s="81"/>
      <c r="AF637" s="80"/>
      <c r="AG637" s="81"/>
    </row>
    <row r="638" spans="1:33" customFormat="1" ht="12.6" customHeight="1">
      <c r="A638" s="218" t="s">
        <v>733</v>
      </c>
      <c r="B638" s="216" t="s">
        <v>776</v>
      </c>
      <c r="C638" s="216"/>
      <c r="D638" s="124" t="s">
        <v>691</v>
      </c>
      <c r="E638" s="217">
        <v>14</v>
      </c>
      <c r="F638" s="78">
        <f t="shared" si="46"/>
        <v>0</v>
      </c>
      <c r="G638" s="79">
        <f t="shared" si="47"/>
        <v>0</v>
      </c>
      <c r="H638" s="80"/>
      <c r="I638" s="81"/>
      <c r="J638" s="80"/>
      <c r="K638" s="81"/>
      <c r="L638" s="80"/>
      <c r="M638" s="80"/>
      <c r="N638" s="80"/>
      <c r="O638" s="81"/>
      <c r="P638" s="81"/>
      <c r="Q638" s="81"/>
      <c r="R638" s="80"/>
      <c r="S638" s="81"/>
      <c r="T638" s="78">
        <f t="shared" si="45"/>
        <v>0</v>
      </c>
      <c r="U638" s="79">
        <f t="shared" si="48"/>
        <v>0</v>
      </c>
      <c r="V638" s="80"/>
      <c r="W638" s="81"/>
      <c r="X638" s="80"/>
      <c r="Y638" s="81"/>
      <c r="Z638" s="80"/>
      <c r="AA638" s="80"/>
      <c r="AB638" s="80"/>
      <c r="AC638" s="81"/>
      <c r="AD638" s="81"/>
      <c r="AE638" s="81"/>
      <c r="AF638" s="80"/>
      <c r="AG638" s="81"/>
    </row>
    <row r="639" spans="1:33" customFormat="1" ht="12.6" customHeight="1">
      <c r="A639" s="218" t="s">
        <v>733</v>
      </c>
      <c r="B639" s="216" t="s">
        <v>777</v>
      </c>
      <c r="C639" s="216"/>
      <c r="D639" s="124" t="s">
        <v>691</v>
      </c>
      <c r="E639" s="217">
        <v>15</v>
      </c>
      <c r="F639" s="78">
        <f t="shared" si="46"/>
        <v>0</v>
      </c>
      <c r="G639" s="79">
        <f t="shared" si="47"/>
        <v>0</v>
      </c>
      <c r="H639" s="80"/>
      <c r="I639" s="81"/>
      <c r="J639" s="80"/>
      <c r="K639" s="81"/>
      <c r="L639" s="80"/>
      <c r="M639" s="80"/>
      <c r="N639" s="80"/>
      <c r="O639" s="81"/>
      <c r="P639" s="81"/>
      <c r="Q639" s="81"/>
      <c r="R639" s="80"/>
      <c r="S639" s="81"/>
      <c r="T639" s="78">
        <f t="shared" si="45"/>
        <v>0</v>
      </c>
      <c r="U639" s="79">
        <f t="shared" si="48"/>
        <v>0</v>
      </c>
      <c r="V639" s="80"/>
      <c r="W639" s="81"/>
      <c r="X639" s="80"/>
      <c r="Y639" s="81"/>
      <c r="Z639" s="80"/>
      <c r="AA639" s="80"/>
      <c r="AB639" s="80"/>
      <c r="AC639" s="81"/>
      <c r="AD639" s="81"/>
      <c r="AE639" s="81"/>
      <c r="AF639" s="80"/>
      <c r="AG639" s="81"/>
    </row>
    <row r="640" spans="1:33" customFormat="1" ht="12.6" customHeight="1">
      <c r="A640" s="218" t="s">
        <v>733</v>
      </c>
      <c r="B640" s="216" t="s">
        <v>778</v>
      </c>
      <c r="C640" s="216"/>
      <c r="D640" s="124">
        <v>486202</v>
      </c>
      <c r="E640" s="217">
        <v>15</v>
      </c>
      <c r="F640" s="78">
        <f t="shared" si="46"/>
        <v>0</v>
      </c>
      <c r="G640" s="79">
        <f t="shared" si="47"/>
        <v>0</v>
      </c>
      <c r="H640" s="80"/>
      <c r="I640" s="81"/>
      <c r="J640" s="80"/>
      <c r="K640" s="81"/>
      <c r="L640" s="80"/>
      <c r="M640" s="80"/>
      <c r="N640" s="80"/>
      <c r="O640" s="81"/>
      <c r="P640" s="81"/>
      <c r="Q640" s="81"/>
      <c r="R640" s="80"/>
      <c r="S640" s="81"/>
      <c r="T640" s="78">
        <f t="shared" si="45"/>
        <v>0</v>
      </c>
      <c r="U640" s="79">
        <f t="shared" si="48"/>
        <v>0</v>
      </c>
      <c r="V640" s="80"/>
      <c r="W640" s="81"/>
      <c r="X640" s="80"/>
      <c r="Y640" s="81"/>
      <c r="Z640" s="80"/>
      <c r="AA640" s="80"/>
      <c r="AB640" s="80"/>
      <c r="AC640" s="81"/>
      <c r="AD640" s="81"/>
      <c r="AE640" s="81"/>
      <c r="AF640" s="80"/>
      <c r="AG640" s="81"/>
    </row>
    <row r="641" spans="1:33" customFormat="1" ht="12.6" customHeight="1">
      <c r="A641" s="214" t="s">
        <v>733</v>
      </c>
      <c r="B641" s="216" t="s">
        <v>779</v>
      </c>
      <c r="C641" s="216"/>
      <c r="D641" s="124">
        <v>486406</v>
      </c>
      <c r="E641" s="217">
        <v>15</v>
      </c>
      <c r="F641" s="78">
        <f t="shared" si="46"/>
        <v>0</v>
      </c>
      <c r="G641" s="79">
        <f t="shared" si="47"/>
        <v>0</v>
      </c>
      <c r="H641" s="80"/>
      <c r="I641" s="81"/>
      <c r="J641" s="80"/>
      <c r="K641" s="81"/>
      <c r="L641" s="80"/>
      <c r="M641" s="80"/>
      <c r="N641" s="80"/>
      <c r="O641" s="81"/>
      <c r="P641" s="81"/>
      <c r="Q641" s="81"/>
      <c r="R641" s="80"/>
      <c r="S641" s="81"/>
      <c r="T641" s="78">
        <f t="shared" si="45"/>
        <v>0</v>
      </c>
      <c r="U641" s="79">
        <f t="shared" si="48"/>
        <v>0</v>
      </c>
      <c r="V641" s="80"/>
      <c r="W641" s="81"/>
      <c r="X641" s="80"/>
      <c r="Y641" s="81"/>
      <c r="Z641" s="80"/>
      <c r="AA641" s="80"/>
      <c r="AB641" s="80"/>
      <c r="AC641" s="81"/>
      <c r="AD641" s="81"/>
      <c r="AE641" s="81"/>
      <c r="AF641" s="80"/>
      <c r="AG641" s="81"/>
    </row>
    <row r="642" spans="1:33" customFormat="1" ht="12.6" customHeight="1">
      <c r="A642" s="218" t="s">
        <v>733</v>
      </c>
      <c r="B642" s="216" t="s">
        <v>780</v>
      </c>
      <c r="C642" s="216"/>
      <c r="D642" s="124" t="s">
        <v>691</v>
      </c>
      <c r="E642" s="217">
        <v>15</v>
      </c>
      <c r="F642" s="78">
        <f t="shared" si="46"/>
        <v>0</v>
      </c>
      <c r="G642" s="79">
        <f t="shared" si="47"/>
        <v>0</v>
      </c>
      <c r="H642" s="80"/>
      <c r="I642" s="81"/>
      <c r="J642" s="80"/>
      <c r="K642" s="81"/>
      <c r="L642" s="80"/>
      <c r="M642" s="80"/>
      <c r="N642" s="80"/>
      <c r="O642" s="81"/>
      <c r="P642" s="81"/>
      <c r="Q642" s="81"/>
      <c r="R642" s="80"/>
      <c r="S642" s="81"/>
      <c r="T642" s="78">
        <f t="shared" si="45"/>
        <v>0</v>
      </c>
      <c r="U642" s="79">
        <f t="shared" si="48"/>
        <v>0</v>
      </c>
      <c r="V642" s="80"/>
      <c r="W642" s="81"/>
      <c r="X642" s="80"/>
      <c r="Y642" s="81"/>
      <c r="Z642" s="80"/>
      <c r="AA642" s="80"/>
      <c r="AB642" s="80"/>
      <c r="AC642" s="81"/>
      <c r="AD642" s="81"/>
      <c r="AE642" s="81"/>
      <c r="AF642" s="80"/>
      <c r="AG642" s="81"/>
    </row>
    <row r="643" spans="1:33" customFormat="1" ht="12.6" customHeight="1">
      <c r="A643" s="214" t="s">
        <v>733</v>
      </c>
      <c r="B643" s="216" t="s">
        <v>781</v>
      </c>
      <c r="C643" s="216"/>
      <c r="D643" s="217">
        <v>238096</v>
      </c>
      <c r="E643" s="217">
        <v>15</v>
      </c>
      <c r="F643" s="78">
        <f t="shared" si="46"/>
        <v>0</v>
      </c>
      <c r="G643" s="79">
        <f t="shared" si="47"/>
        <v>0</v>
      </c>
      <c r="H643" s="80"/>
      <c r="I643" s="81"/>
      <c r="J643" s="80"/>
      <c r="K643" s="81"/>
      <c r="L643" s="80"/>
      <c r="M643" s="80"/>
      <c r="N643" s="80"/>
      <c r="O643" s="81"/>
      <c r="P643" s="81"/>
      <c r="Q643" s="81"/>
      <c r="R643" s="80"/>
      <c r="S643" s="81"/>
      <c r="T643" s="78">
        <f t="shared" si="45"/>
        <v>0</v>
      </c>
      <c r="U643" s="79">
        <f t="shared" si="48"/>
        <v>0</v>
      </c>
      <c r="V643" s="80"/>
      <c r="W643" s="81"/>
      <c r="X643" s="80"/>
      <c r="Y643" s="81"/>
      <c r="Z643" s="80"/>
      <c r="AA643" s="80"/>
      <c r="AB643" s="80"/>
      <c r="AC643" s="81"/>
      <c r="AD643" s="81"/>
      <c r="AE643" s="81"/>
      <c r="AF643" s="80"/>
      <c r="AG643" s="81"/>
    </row>
    <row r="644" spans="1:33">
      <c r="A644" s="87"/>
      <c r="B644" s="87"/>
      <c r="C644" s="87"/>
      <c r="D644" s="87"/>
      <c r="E644" s="87"/>
      <c r="G644" s="87"/>
      <c r="I644" s="87"/>
      <c r="M644" s="87"/>
      <c r="N644" s="87"/>
      <c r="O644" s="87"/>
      <c r="Q644" s="87"/>
      <c r="S644" s="87"/>
      <c r="U644" s="87"/>
      <c r="W644" s="87"/>
      <c r="AA644" s="87"/>
      <c r="AB644" s="87"/>
      <c r="AC644" s="87"/>
      <c r="AE644" s="87"/>
    </row>
    <row r="645" spans="1:33">
      <c r="A645" s="87"/>
      <c r="B645" s="87"/>
      <c r="C645" s="87"/>
      <c r="D645" s="87"/>
      <c r="E645" s="87"/>
      <c r="G645" s="87"/>
      <c r="I645" s="87"/>
      <c r="M645" s="87"/>
      <c r="N645" s="87"/>
      <c r="O645" s="87"/>
      <c r="Q645" s="87"/>
      <c r="S645" s="87"/>
      <c r="U645" s="87"/>
      <c r="W645" s="87"/>
      <c r="AA645" s="87"/>
      <c r="AB645" s="87"/>
      <c r="AC645" s="87"/>
      <c r="AE645" s="87"/>
    </row>
    <row r="646" spans="1:33">
      <c r="A646" s="87"/>
      <c r="B646" s="87"/>
      <c r="C646" s="87"/>
      <c r="D646" s="87"/>
      <c r="E646" s="87"/>
      <c r="G646" s="87"/>
      <c r="I646" s="87"/>
      <c r="M646" s="87"/>
      <c r="N646" s="87"/>
      <c r="O646" s="87"/>
      <c r="Q646" s="87"/>
      <c r="S646" s="87"/>
      <c r="U646" s="87"/>
      <c r="W646" s="87"/>
      <c r="AA646" s="87"/>
      <c r="AB646" s="87"/>
      <c r="AC646" s="87"/>
      <c r="AE646" s="87"/>
    </row>
    <row r="647" spans="1:33">
      <c r="A647" s="87"/>
      <c r="B647" s="87"/>
      <c r="C647" s="87"/>
      <c r="D647" s="87"/>
      <c r="E647" s="87"/>
      <c r="G647" s="87"/>
      <c r="I647" s="87"/>
      <c r="M647" s="87"/>
      <c r="N647" s="87"/>
      <c r="O647" s="87"/>
      <c r="Q647" s="87"/>
      <c r="S647" s="87"/>
      <c r="U647" s="87"/>
      <c r="W647" s="87"/>
      <c r="AA647" s="87"/>
      <c r="AB647" s="87"/>
      <c r="AC647" s="87"/>
      <c r="AE647" s="87"/>
    </row>
    <row r="648" spans="1:33">
      <c r="A648" s="87"/>
      <c r="B648" s="87"/>
      <c r="C648" s="87"/>
      <c r="D648" s="87"/>
      <c r="E648" s="87"/>
      <c r="G648" s="87"/>
      <c r="I648" s="87"/>
      <c r="M648" s="87"/>
      <c r="N648" s="87"/>
      <c r="O648" s="87"/>
      <c r="Q648" s="87"/>
      <c r="S648" s="87"/>
      <c r="U648" s="87"/>
      <c r="W648" s="87"/>
      <c r="AA648" s="87"/>
      <c r="AB648" s="87"/>
      <c r="AC648" s="87"/>
      <c r="AE648" s="87"/>
    </row>
    <row r="649" spans="1:33">
      <c r="A649" s="87"/>
      <c r="B649" s="87"/>
      <c r="C649" s="87"/>
      <c r="D649" s="87"/>
      <c r="E649" s="87"/>
      <c r="G649" s="87"/>
      <c r="I649" s="87"/>
      <c r="M649" s="87"/>
      <c r="N649" s="87"/>
      <c r="O649" s="87"/>
      <c r="Q649" s="87"/>
      <c r="S649" s="87"/>
      <c r="U649" s="87"/>
      <c r="W649" s="87"/>
      <c r="AA649" s="87"/>
      <c r="AB649" s="87"/>
      <c r="AC649" s="87"/>
      <c r="AE649" s="87"/>
    </row>
    <row r="650" spans="1:33">
      <c r="A650" s="87"/>
      <c r="B650" s="87"/>
      <c r="C650" s="87"/>
      <c r="D650" s="87"/>
      <c r="E650" s="87"/>
      <c r="G650" s="87"/>
      <c r="I650" s="87"/>
      <c r="M650" s="87"/>
      <c r="N650" s="87"/>
      <c r="O650" s="87"/>
      <c r="Q650" s="87"/>
      <c r="S650" s="87"/>
      <c r="U650" s="87"/>
      <c r="W650" s="87"/>
      <c r="AA650" s="87"/>
      <c r="AB650" s="87"/>
      <c r="AC650" s="87"/>
      <c r="AE650" s="87"/>
    </row>
    <row r="651" spans="1:33">
      <c r="A651" s="87"/>
      <c r="B651" s="87"/>
      <c r="C651" s="87"/>
      <c r="D651" s="87"/>
      <c r="E651" s="87"/>
      <c r="G651" s="87"/>
      <c r="I651" s="87"/>
      <c r="M651" s="87"/>
      <c r="N651" s="87"/>
      <c r="O651" s="87"/>
      <c r="Q651" s="87"/>
      <c r="S651" s="87"/>
      <c r="U651" s="87"/>
      <c r="W651" s="87"/>
      <c r="AA651" s="87"/>
      <c r="AB651" s="87"/>
      <c r="AC651" s="87"/>
      <c r="AE651" s="87"/>
    </row>
    <row r="652" spans="1:33">
      <c r="A652" s="87"/>
      <c r="B652" s="87"/>
      <c r="C652" s="87"/>
      <c r="D652" s="87"/>
      <c r="E652" s="87"/>
      <c r="G652" s="87"/>
      <c r="I652" s="87"/>
      <c r="M652" s="87"/>
      <c r="N652" s="87"/>
      <c r="O652" s="87"/>
      <c r="Q652" s="87"/>
      <c r="S652" s="87"/>
      <c r="U652" s="87"/>
      <c r="W652" s="87"/>
      <c r="AA652" s="87"/>
      <c r="AB652" s="87"/>
      <c r="AC652" s="87"/>
      <c r="AE652" s="87"/>
    </row>
    <row r="653" spans="1:33">
      <c r="A653" s="87"/>
      <c r="B653" s="87"/>
      <c r="C653" s="87"/>
      <c r="D653" s="87"/>
      <c r="E653" s="87"/>
      <c r="G653" s="87"/>
      <c r="I653" s="87"/>
      <c r="M653" s="87"/>
      <c r="N653" s="87"/>
      <c r="O653" s="87"/>
      <c r="Q653" s="87"/>
      <c r="S653" s="87"/>
      <c r="U653" s="87"/>
      <c r="W653" s="87"/>
      <c r="AA653" s="87"/>
      <c r="AB653" s="87"/>
      <c r="AC653" s="87"/>
      <c r="AE653" s="87"/>
    </row>
    <row r="654" spans="1:33">
      <c r="A654" s="87"/>
      <c r="B654" s="87"/>
      <c r="C654" s="87"/>
      <c r="D654" s="87"/>
      <c r="E654" s="87"/>
      <c r="G654" s="87"/>
      <c r="I654" s="87"/>
      <c r="M654" s="87"/>
      <c r="N654" s="87"/>
      <c r="O654" s="87"/>
      <c r="Q654" s="87"/>
      <c r="S654" s="87"/>
      <c r="U654" s="87"/>
      <c r="W654" s="87"/>
      <c r="AA654" s="87"/>
      <c r="AB654" s="87"/>
      <c r="AC654" s="87"/>
      <c r="AE654" s="87"/>
    </row>
    <row r="655" spans="1:33">
      <c r="A655" s="87"/>
      <c r="B655" s="87"/>
      <c r="C655" s="87"/>
      <c r="D655" s="87"/>
      <c r="E655" s="87"/>
      <c r="G655" s="87"/>
      <c r="I655" s="87"/>
      <c r="M655" s="87"/>
      <c r="N655" s="87"/>
      <c r="O655" s="87"/>
      <c r="Q655" s="87"/>
      <c r="S655" s="87"/>
      <c r="U655" s="87"/>
      <c r="W655" s="87"/>
      <c r="AA655" s="87"/>
      <c r="AB655" s="87"/>
      <c r="AC655" s="87"/>
      <c r="AE655" s="87"/>
    </row>
    <row r="656" spans="1:33">
      <c r="A656" s="87"/>
      <c r="B656" s="87"/>
      <c r="C656" s="87"/>
      <c r="D656" s="87"/>
      <c r="E656" s="87"/>
      <c r="G656" s="87"/>
      <c r="I656" s="87"/>
      <c r="M656" s="87"/>
      <c r="N656" s="87"/>
      <c r="O656" s="87"/>
      <c r="Q656" s="87"/>
      <c r="S656" s="87"/>
      <c r="U656" s="87"/>
      <c r="W656" s="87"/>
      <c r="AA656" s="87"/>
      <c r="AB656" s="87"/>
      <c r="AC656" s="87"/>
      <c r="AE656" s="87"/>
    </row>
    <row r="657" spans="1:31">
      <c r="A657" s="87"/>
      <c r="B657" s="87"/>
      <c r="C657" s="87"/>
      <c r="D657" s="87"/>
      <c r="E657" s="87"/>
      <c r="G657" s="87"/>
      <c r="I657" s="87"/>
      <c r="M657" s="87"/>
      <c r="N657" s="87"/>
      <c r="O657" s="87"/>
      <c r="Q657" s="87"/>
      <c r="S657" s="87"/>
      <c r="U657" s="87"/>
      <c r="W657" s="87"/>
      <c r="AA657" s="87"/>
      <c r="AB657" s="87"/>
      <c r="AC657" s="87"/>
      <c r="AE657" s="87"/>
    </row>
    <row r="658" spans="1:31">
      <c r="A658" s="87"/>
      <c r="B658" s="87"/>
      <c r="C658" s="87"/>
      <c r="D658" s="87"/>
      <c r="E658" s="87"/>
      <c r="G658" s="87"/>
      <c r="I658" s="87"/>
      <c r="M658" s="87"/>
      <c r="N658" s="87"/>
      <c r="O658" s="87"/>
      <c r="Q658" s="87"/>
      <c r="S658" s="87"/>
      <c r="U658" s="87"/>
      <c r="W658" s="87"/>
      <c r="AA658" s="87"/>
      <c r="AB658" s="87"/>
      <c r="AC658" s="87"/>
      <c r="AE658" s="87"/>
    </row>
    <row r="659" spans="1:31">
      <c r="A659" s="87"/>
      <c r="B659" s="87"/>
      <c r="C659" s="87"/>
      <c r="D659" s="87"/>
      <c r="E659" s="87"/>
      <c r="G659" s="87"/>
      <c r="I659" s="87"/>
      <c r="M659" s="87"/>
      <c r="N659" s="87"/>
      <c r="O659" s="87"/>
      <c r="Q659" s="87"/>
      <c r="S659" s="87"/>
      <c r="U659" s="87"/>
      <c r="W659" s="87"/>
      <c r="AA659" s="87"/>
      <c r="AB659" s="87"/>
      <c r="AC659" s="87"/>
      <c r="AE659" s="87"/>
    </row>
    <row r="660" spans="1:31">
      <c r="A660" s="87"/>
      <c r="B660" s="87"/>
      <c r="C660" s="87"/>
      <c r="D660" s="87"/>
      <c r="E660" s="87"/>
      <c r="G660" s="87"/>
      <c r="I660" s="87"/>
      <c r="M660" s="87"/>
      <c r="N660" s="87"/>
      <c r="O660" s="87"/>
      <c r="Q660" s="87"/>
      <c r="S660" s="87"/>
      <c r="U660" s="87"/>
      <c r="W660" s="87"/>
      <c r="AA660" s="87"/>
      <c r="AB660" s="87"/>
      <c r="AC660" s="87"/>
      <c r="AE660" s="87"/>
    </row>
    <row r="661" spans="1:31">
      <c r="A661" s="87"/>
      <c r="B661" s="87"/>
      <c r="C661" s="87"/>
      <c r="D661" s="87"/>
      <c r="E661" s="87"/>
      <c r="G661" s="87"/>
      <c r="I661" s="87"/>
      <c r="M661" s="87"/>
      <c r="N661" s="87"/>
      <c r="O661" s="87"/>
      <c r="Q661" s="87"/>
      <c r="S661" s="87"/>
      <c r="U661" s="87"/>
      <c r="W661" s="87"/>
      <c r="AA661" s="87"/>
      <c r="AB661" s="87"/>
      <c r="AC661" s="87"/>
      <c r="AE661" s="87"/>
    </row>
    <row r="662" spans="1:31">
      <c r="A662" s="87"/>
      <c r="B662" s="87"/>
      <c r="C662" s="87"/>
      <c r="D662" s="87"/>
      <c r="E662" s="87"/>
      <c r="G662" s="87"/>
      <c r="I662" s="87"/>
      <c r="M662" s="87"/>
      <c r="N662" s="87"/>
      <c r="O662" s="87"/>
      <c r="Q662" s="87"/>
      <c r="S662" s="87"/>
      <c r="U662" s="87"/>
      <c r="W662" s="87"/>
      <c r="AA662" s="87"/>
      <c r="AB662" s="87"/>
      <c r="AC662" s="87"/>
      <c r="AE662" s="87"/>
    </row>
    <row r="663" spans="1:31">
      <c r="A663" s="87"/>
      <c r="B663" s="87"/>
      <c r="C663" s="87"/>
      <c r="D663" s="87"/>
      <c r="E663" s="87"/>
      <c r="G663" s="87"/>
      <c r="I663" s="87"/>
      <c r="M663" s="87"/>
      <c r="N663" s="87"/>
      <c r="O663" s="87"/>
      <c r="Q663" s="87"/>
      <c r="S663" s="87"/>
      <c r="U663" s="87"/>
      <c r="W663" s="87"/>
      <c r="AA663" s="87"/>
      <c r="AB663" s="87"/>
      <c r="AC663" s="87"/>
      <c r="AE663" s="87"/>
    </row>
    <row r="664" spans="1:31">
      <c r="A664" s="87"/>
      <c r="B664" s="87"/>
      <c r="C664" s="87"/>
      <c r="D664" s="87"/>
      <c r="E664" s="87"/>
      <c r="G664" s="87"/>
      <c r="I664" s="87"/>
      <c r="M664" s="87"/>
      <c r="N664" s="87"/>
      <c r="O664" s="87"/>
      <c r="Q664" s="87"/>
      <c r="S664" s="87"/>
      <c r="U664" s="87"/>
      <c r="W664" s="87"/>
      <c r="AA664" s="87"/>
      <c r="AB664" s="87"/>
      <c r="AC664" s="87"/>
      <c r="AE664" s="87"/>
    </row>
    <row r="665" spans="1:31">
      <c r="A665" s="87"/>
      <c r="B665" s="87"/>
      <c r="C665" s="87"/>
      <c r="D665" s="87"/>
      <c r="E665" s="87"/>
      <c r="G665" s="87"/>
      <c r="I665" s="87"/>
      <c r="M665" s="87"/>
      <c r="N665" s="87"/>
      <c r="O665" s="87"/>
      <c r="Q665" s="87"/>
      <c r="S665" s="87"/>
      <c r="U665" s="87"/>
      <c r="W665" s="87"/>
      <c r="AA665" s="87"/>
      <c r="AB665" s="87"/>
      <c r="AC665" s="87"/>
      <c r="AE665" s="87"/>
    </row>
    <row r="666" spans="1:31">
      <c r="A666" s="87"/>
      <c r="B666" s="87"/>
      <c r="C666" s="87"/>
      <c r="D666" s="87"/>
      <c r="E666" s="87"/>
      <c r="G666" s="87"/>
      <c r="I666" s="87"/>
      <c r="M666" s="87"/>
      <c r="N666" s="87"/>
      <c r="O666" s="87"/>
      <c r="Q666" s="87"/>
      <c r="S666" s="87"/>
      <c r="U666" s="87"/>
      <c r="W666" s="87"/>
      <c r="AA666" s="87"/>
      <c r="AB666" s="87"/>
      <c r="AC666" s="87"/>
      <c r="AE666" s="87"/>
    </row>
    <row r="667" spans="1:31">
      <c r="A667" s="87"/>
      <c r="B667" s="87"/>
      <c r="C667" s="87"/>
      <c r="D667" s="87"/>
      <c r="E667" s="87"/>
      <c r="G667" s="87"/>
      <c r="I667" s="87"/>
      <c r="M667" s="87"/>
      <c r="N667" s="87"/>
      <c r="O667" s="87"/>
      <c r="Q667" s="87"/>
      <c r="S667" s="87"/>
      <c r="U667" s="87"/>
      <c r="W667" s="87"/>
      <c r="AA667" s="87"/>
      <c r="AB667" s="87"/>
      <c r="AC667" s="87"/>
      <c r="AE667" s="87"/>
    </row>
    <row r="668" spans="1:31">
      <c r="A668" s="87"/>
      <c r="B668" s="87"/>
      <c r="C668" s="87"/>
      <c r="D668" s="87"/>
      <c r="E668" s="87"/>
      <c r="G668" s="87"/>
      <c r="I668" s="87"/>
      <c r="M668" s="87"/>
      <c r="N668" s="87"/>
      <c r="O668" s="87"/>
      <c r="Q668" s="87"/>
      <c r="S668" s="87"/>
      <c r="U668" s="87"/>
      <c r="W668" s="87"/>
      <c r="AA668" s="87"/>
      <c r="AB668" s="87"/>
      <c r="AC668" s="87"/>
      <c r="AE668" s="87"/>
    </row>
  </sheetData>
  <sheetProtection insertRows="0" deleteRows="0"/>
  <sortState xmlns:xlrd2="http://schemas.microsoft.com/office/spreadsheetml/2017/richdata2" ref="A7:AG9">
    <sortCondition ref="A7:A9"/>
    <sortCondition ref="E7:E9"/>
    <sortCondition ref="B7:B9"/>
  </sortState>
  <mergeCells count="1">
    <mergeCell ref="H4:I4"/>
  </mergeCells>
  <pageMargins left="0.7" right="0.7" top="0.75" bottom="0.75" header="0.3" footer="0.3"/>
  <pageSetup orientation="portrait"/>
  <legacyDrawing r:id="rId1"/>
  <extLst>
    <x:ext xmlns:x="http://schemas.openxmlformats.org/spreadsheetml/2006/main" xmlns:mx="http://schemas.microsoft.com/office/mac/excel/2008/main" uri="{64002731-A6B0-56B0-2670-7721B7C09600}">
      <mx:PLV Mode="0" OnePage="0" WScale="0"/>
    </x: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AD59-774D-4951-A781-DE16019A6B9D}">
  <sheetPr>
    <tabColor rgb="FFFFFF00"/>
  </sheetPr>
  <dimension ref="A3:W617"/>
  <sheetViews>
    <sheetView workbookViewId="0">
      <selection sqref="A1:XFD1048576"/>
    </sheetView>
  </sheetViews>
  <sheetFormatPr defaultRowHeight="15"/>
  <cols>
    <col min="1" max="1" width="4.6640625" style="225" customWidth="1"/>
    <col min="2" max="2" width="16.88671875" style="225" customWidth="1"/>
    <col min="3" max="9" width="10" style="225" customWidth="1"/>
    <col min="10" max="10" width="12.44140625" style="225" customWidth="1"/>
    <col min="11" max="14" width="8.6640625" style="225" customWidth="1"/>
    <col min="15" max="15" width="11.109375" style="225" customWidth="1"/>
    <col min="16" max="17" width="8.77734375" style="225" customWidth="1"/>
    <col min="18" max="18" width="11.33203125" style="225" customWidth="1"/>
    <col min="19" max="21" width="8.88671875" style="225" customWidth="1"/>
    <col min="22" max="22" width="7.109375" style="225" customWidth="1"/>
    <col min="23" max="16384" width="8.88671875" style="225"/>
  </cols>
  <sheetData>
    <row r="3" spans="1:22">
      <c r="A3" s="219"/>
      <c r="B3" s="220"/>
      <c r="C3" s="219"/>
      <c r="D3" s="221"/>
      <c r="E3" s="221"/>
      <c r="F3" s="222"/>
      <c r="G3" s="222"/>
      <c r="H3" s="222"/>
      <c r="I3" s="222"/>
      <c r="J3" s="222"/>
      <c r="K3" s="222"/>
      <c r="L3" s="222"/>
      <c r="M3" s="222"/>
      <c r="N3" s="222"/>
      <c r="O3" s="222"/>
      <c r="P3" s="222"/>
      <c r="Q3" s="222"/>
      <c r="R3" s="222"/>
      <c r="S3" s="223"/>
      <c r="T3" s="223"/>
      <c r="U3" s="222"/>
      <c r="V3" s="224"/>
    </row>
    <row r="4" spans="1:22">
      <c r="A4" s="226"/>
      <c r="B4" s="227"/>
      <c r="C4" s="226"/>
      <c r="D4" s="228"/>
      <c r="E4" s="227"/>
      <c r="F4" s="227"/>
      <c r="G4" s="227"/>
      <c r="H4" s="227"/>
      <c r="I4" s="227"/>
      <c r="J4" s="219"/>
      <c r="K4" s="229"/>
      <c r="L4" s="228"/>
      <c r="M4" s="227"/>
      <c r="N4" s="227"/>
      <c r="O4" s="219"/>
      <c r="P4" s="219"/>
      <c r="Q4" s="220"/>
      <c r="R4" s="219"/>
      <c r="S4" s="230"/>
      <c r="T4" s="230"/>
      <c r="U4" s="231"/>
      <c r="V4" s="224"/>
    </row>
    <row r="5" spans="1:22">
      <c r="A5" s="219"/>
      <c r="B5" s="219"/>
      <c r="C5" s="219"/>
      <c r="D5" s="232"/>
      <c r="E5" s="232"/>
      <c r="F5" s="232"/>
      <c r="G5" s="232"/>
      <c r="H5" s="232"/>
      <c r="I5" s="232"/>
      <c r="J5" s="233"/>
      <c r="K5" s="234"/>
      <c r="L5" s="232"/>
      <c r="M5" s="232"/>
      <c r="N5" s="232"/>
      <c r="O5" s="233"/>
      <c r="P5" s="235"/>
      <c r="R5" s="233"/>
      <c r="S5" s="236"/>
      <c r="T5" s="236"/>
      <c r="U5" s="237"/>
      <c r="V5" s="224"/>
    </row>
    <row r="6" spans="1:22">
      <c r="A6" s="238"/>
      <c r="B6" s="219"/>
      <c r="C6" s="239"/>
      <c r="D6" s="240"/>
      <c r="E6" s="240"/>
      <c r="F6" s="240"/>
      <c r="G6" s="240"/>
      <c r="H6" s="240"/>
      <c r="I6" s="240"/>
      <c r="J6" s="241"/>
      <c r="K6" s="241"/>
      <c r="L6" s="240"/>
      <c r="M6" s="240"/>
      <c r="N6" s="240"/>
      <c r="O6" s="241"/>
      <c r="P6" s="241"/>
      <c r="Q6" s="240"/>
      <c r="R6" s="241"/>
      <c r="S6" s="241"/>
      <c r="T6" s="241"/>
      <c r="U6" s="241"/>
      <c r="V6" s="224"/>
    </row>
    <row r="7" spans="1:22">
      <c r="A7" s="242"/>
      <c r="B7" s="243"/>
      <c r="C7" s="244"/>
      <c r="D7" s="245"/>
      <c r="E7" s="245"/>
      <c r="F7" s="245"/>
      <c r="G7" s="245"/>
      <c r="H7" s="245"/>
      <c r="I7" s="245"/>
      <c r="J7" s="246"/>
      <c r="K7" s="246"/>
      <c r="L7" s="245"/>
      <c r="M7" s="245"/>
      <c r="N7" s="245"/>
      <c r="O7" s="246"/>
      <c r="P7" s="246"/>
      <c r="Q7" s="245"/>
      <c r="R7" s="246"/>
      <c r="S7" s="246"/>
      <c r="T7" s="246"/>
      <c r="U7" s="246"/>
      <c r="V7" s="247"/>
    </row>
    <row r="8" spans="1:22">
      <c r="A8" s="242"/>
      <c r="B8" s="248"/>
      <c r="C8" s="249"/>
      <c r="D8" s="250"/>
      <c r="E8" s="250"/>
      <c r="F8" s="250"/>
      <c r="G8" s="250"/>
      <c r="H8" s="250"/>
      <c r="I8" s="250"/>
      <c r="J8" s="251"/>
      <c r="K8" s="251"/>
      <c r="L8" s="250"/>
      <c r="M8" s="250"/>
      <c r="N8" s="250"/>
      <c r="O8" s="251"/>
      <c r="P8" s="251"/>
      <c r="Q8" s="252"/>
      <c r="R8" s="251"/>
      <c r="S8" s="251"/>
      <c r="T8" s="251"/>
      <c r="U8" s="251"/>
      <c r="V8" s="247"/>
    </row>
    <row r="9" spans="1:22">
      <c r="A9" s="242"/>
      <c r="B9" s="219"/>
      <c r="C9" s="239"/>
      <c r="D9" s="240"/>
      <c r="E9" s="240"/>
      <c r="F9" s="240"/>
      <c r="G9" s="240"/>
      <c r="H9" s="240"/>
      <c r="I9" s="240"/>
      <c r="J9" s="241"/>
      <c r="K9" s="241"/>
      <c r="L9" s="240"/>
      <c r="M9" s="240"/>
      <c r="N9" s="240"/>
      <c r="O9" s="241"/>
      <c r="P9" s="241"/>
      <c r="Q9" s="240"/>
      <c r="R9" s="241"/>
      <c r="S9" s="241"/>
      <c r="T9" s="241"/>
      <c r="U9" s="241"/>
      <c r="V9" s="247"/>
    </row>
    <row r="10" spans="1:22">
      <c r="A10" s="242"/>
      <c r="B10" s="243"/>
      <c r="C10" s="244"/>
      <c r="D10" s="245"/>
      <c r="E10" s="245"/>
      <c r="F10" s="245"/>
      <c r="G10" s="245"/>
      <c r="H10" s="245"/>
      <c r="I10" s="245"/>
      <c r="J10" s="246"/>
      <c r="K10" s="246"/>
      <c r="L10" s="245"/>
      <c r="M10" s="245"/>
      <c r="N10" s="245"/>
      <c r="O10" s="246"/>
      <c r="P10" s="246"/>
      <c r="Q10" s="245"/>
      <c r="R10" s="246"/>
      <c r="S10" s="246"/>
      <c r="T10" s="246"/>
      <c r="U10" s="246"/>
      <c r="V10" s="247"/>
    </row>
    <row r="11" spans="1:22">
      <c r="A11" s="242"/>
      <c r="B11" s="248"/>
      <c r="C11" s="249"/>
      <c r="D11" s="250"/>
      <c r="E11" s="250"/>
      <c r="F11" s="250"/>
      <c r="G11" s="250"/>
      <c r="H11" s="250"/>
      <c r="I11" s="250"/>
      <c r="J11" s="253"/>
      <c r="K11" s="253"/>
      <c r="L11" s="250"/>
      <c r="M11" s="250"/>
      <c r="N11" s="250"/>
      <c r="O11" s="253"/>
      <c r="P11" s="253"/>
      <c r="Q11" s="250"/>
      <c r="R11" s="253"/>
      <c r="S11" s="253"/>
      <c r="T11" s="253"/>
      <c r="U11" s="253"/>
      <c r="V11" s="247"/>
    </row>
    <row r="12" spans="1:22">
      <c r="A12" s="242"/>
      <c r="B12" s="219"/>
      <c r="C12" s="239"/>
      <c r="D12" s="240"/>
      <c r="E12" s="240"/>
      <c r="F12" s="240"/>
      <c r="G12" s="240"/>
      <c r="H12" s="240"/>
      <c r="I12" s="240"/>
      <c r="J12" s="241"/>
      <c r="K12" s="241"/>
      <c r="L12" s="240"/>
      <c r="M12" s="240"/>
      <c r="N12" s="240"/>
      <c r="O12" s="241"/>
      <c r="P12" s="241"/>
      <c r="Q12" s="240"/>
      <c r="R12" s="241"/>
      <c r="S12" s="241"/>
      <c r="T12" s="241"/>
      <c r="U12" s="241"/>
      <c r="V12" s="247"/>
    </row>
    <row r="13" spans="1:22">
      <c r="A13" s="242"/>
      <c r="B13" s="243"/>
      <c r="C13" s="244"/>
      <c r="D13" s="245"/>
      <c r="E13" s="245"/>
      <c r="F13" s="245"/>
      <c r="G13" s="245"/>
      <c r="H13" s="245"/>
      <c r="I13" s="245"/>
      <c r="J13" s="246"/>
      <c r="K13" s="246"/>
      <c r="L13" s="245"/>
      <c r="M13" s="245"/>
      <c r="N13" s="245"/>
      <c r="O13" s="246"/>
      <c r="P13" s="246"/>
      <c r="Q13" s="254"/>
      <c r="R13" s="246"/>
      <c r="S13" s="246"/>
      <c r="T13" s="246"/>
      <c r="U13" s="246"/>
      <c r="V13" s="247"/>
    </row>
    <row r="14" spans="1:22" s="255" customFormat="1">
      <c r="A14" s="242"/>
      <c r="B14" s="248"/>
      <c r="C14" s="249"/>
      <c r="D14" s="250"/>
      <c r="E14" s="250"/>
      <c r="F14" s="250"/>
      <c r="G14" s="250"/>
      <c r="H14" s="250"/>
      <c r="I14" s="250"/>
      <c r="J14" s="253"/>
      <c r="K14" s="253"/>
      <c r="L14" s="250"/>
      <c r="M14" s="250"/>
      <c r="N14" s="250"/>
      <c r="O14" s="253"/>
      <c r="P14" s="253"/>
      <c r="Q14" s="252"/>
      <c r="R14" s="253"/>
      <c r="S14" s="253"/>
      <c r="T14" s="253"/>
      <c r="U14" s="253"/>
      <c r="V14" s="247"/>
    </row>
    <row r="15" spans="1:22">
      <c r="A15" s="242"/>
      <c r="B15" s="219"/>
      <c r="C15" s="239"/>
      <c r="D15" s="240"/>
      <c r="E15" s="240"/>
      <c r="F15" s="240"/>
      <c r="G15" s="240"/>
      <c r="H15" s="240"/>
      <c r="I15" s="240"/>
      <c r="J15" s="241"/>
      <c r="K15" s="241"/>
      <c r="L15" s="240"/>
      <c r="M15" s="240"/>
      <c r="N15" s="240"/>
      <c r="O15" s="241"/>
      <c r="P15" s="241"/>
      <c r="Q15" s="240"/>
      <c r="R15" s="241"/>
      <c r="S15" s="241"/>
      <c r="T15" s="241"/>
      <c r="U15" s="241"/>
      <c r="V15" s="247"/>
    </row>
    <row r="16" spans="1:22">
      <c r="A16" s="242"/>
      <c r="B16" s="243"/>
      <c r="C16" s="256"/>
      <c r="D16" s="245"/>
      <c r="E16" s="245"/>
      <c r="F16" s="245"/>
      <c r="G16" s="245"/>
      <c r="H16" s="245"/>
      <c r="I16" s="245"/>
      <c r="J16" s="246"/>
      <c r="K16" s="246"/>
      <c r="L16" s="245"/>
      <c r="M16" s="245"/>
      <c r="N16" s="245"/>
      <c r="O16" s="246"/>
      <c r="P16" s="246"/>
      <c r="Q16" s="245"/>
      <c r="R16" s="246"/>
      <c r="S16" s="246"/>
      <c r="T16" s="246"/>
      <c r="U16" s="246"/>
      <c r="V16" s="247"/>
    </row>
    <row r="17" spans="1:22">
      <c r="A17" s="242"/>
      <c r="B17" s="248"/>
      <c r="C17" s="249"/>
      <c r="D17" s="250"/>
      <c r="E17" s="250"/>
      <c r="F17" s="250"/>
      <c r="G17" s="250"/>
      <c r="H17" s="250"/>
      <c r="I17" s="250"/>
      <c r="J17" s="253"/>
      <c r="K17" s="253"/>
      <c r="L17" s="250"/>
      <c r="M17" s="250"/>
      <c r="N17" s="250"/>
      <c r="O17" s="253"/>
      <c r="P17" s="253"/>
      <c r="Q17" s="250"/>
      <c r="R17" s="253"/>
      <c r="S17" s="253"/>
      <c r="T17" s="253"/>
      <c r="U17" s="253"/>
      <c r="V17" s="247"/>
    </row>
    <row r="18" spans="1:22">
      <c r="A18" s="242"/>
      <c r="B18" s="219"/>
      <c r="C18" s="239"/>
      <c r="D18" s="240"/>
      <c r="E18" s="240"/>
      <c r="F18" s="240"/>
      <c r="G18" s="240"/>
      <c r="H18" s="240"/>
      <c r="I18" s="240"/>
      <c r="J18" s="241"/>
      <c r="K18" s="241"/>
      <c r="L18" s="240"/>
      <c r="M18" s="240"/>
      <c r="N18" s="240"/>
      <c r="O18" s="241"/>
      <c r="P18" s="241"/>
      <c r="Q18" s="240"/>
      <c r="R18" s="241"/>
      <c r="S18" s="241"/>
      <c r="T18" s="241"/>
      <c r="U18" s="241"/>
      <c r="V18" s="247"/>
    </row>
    <row r="19" spans="1:22">
      <c r="A19" s="242"/>
      <c r="B19" s="243"/>
      <c r="C19" s="244"/>
      <c r="D19" s="245"/>
      <c r="E19" s="245"/>
      <c r="F19" s="245"/>
      <c r="G19" s="245"/>
      <c r="H19" s="245"/>
      <c r="I19" s="245"/>
      <c r="J19" s="246"/>
      <c r="K19" s="246"/>
      <c r="L19" s="245"/>
      <c r="M19" s="245"/>
      <c r="N19" s="254"/>
      <c r="O19" s="246"/>
      <c r="P19" s="246"/>
      <c r="Q19" s="245"/>
      <c r="R19" s="246"/>
      <c r="S19" s="246"/>
      <c r="T19" s="246"/>
      <c r="U19" s="246"/>
      <c r="V19" s="247"/>
    </row>
    <row r="20" spans="1:22">
      <c r="A20" s="242"/>
      <c r="B20" s="248"/>
      <c r="C20" s="249"/>
      <c r="D20" s="250"/>
      <c r="E20" s="250"/>
      <c r="F20" s="250"/>
      <c r="G20" s="250"/>
      <c r="H20" s="250"/>
      <c r="I20" s="250"/>
      <c r="J20" s="253"/>
      <c r="K20" s="253"/>
      <c r="L20" s="250"/>
      <c r="M20" s="250"/>
      <c r="N20" s="250"/>
      <c r="O20" s="253"/>
      <c r="P20" s="253"/>
      <c r="Q20" s="250"/>
      <c r="R20" s="253"/>
      <c r="S20" s="253"/>
      <c r="T20" s="253"/>
      <c r="U20" s="253"/>
      <c r="V20" s="247"/>
    </row>
    <row r="21" spans="1:22">
      <c r="A21" s="242"/>
      <c r="B21" s="219"/>
      <c r="C21" s="239"/>
      <c r="D21" s="240"/>
      <c r="E21" s="240"/>
      <c r="F21" s="240"/>
      <c r="G21" s="240"/>
      <c r="H21" s="240"/>
      <c r="I21" s="240"/>
      <c r="J21" s="241"/>
      <c r="K21" s="241"/>
      <c r="L21" s="240"/>
      <c r="M21" s="240"/>
      <c r="N21" s="240"/>
      <c r="O21" s="241"/>
      <c r="P21" s="241"/>
      <c r="Q21" s="240"/>
      <c r="R21" s="241"/>
      <c r="S21" s="241"/>
      <c r="T21" s="241"/>
      <c r="U21" s="241"/>
      <c r="V21" s="247"/>
    </row>
    <row r="22" spans="1:22">
      <c r="A22" s="242"/>
      <c r="B22" s="243"/>
      <c r="C22" s="244"/>
      <c r="D22" s="245"/>
      <c r="E22" s="245"/>
      <c r="F22" s="245"/>
      <c r="G22" s="245"/>
      <c r="H22" s="245"/>
      <c r="I22" s="245"/>
      <c r="J22" s="246"/>
      <c r="K22" s="246"/>
      <c r="L22" s="245"/>
      <c r="M22" s="245"/>
      <c r="N22" s="245"/>
      <c r="O22" s="246"/>
      <c r="P22" s="246"/>
      <c r="Q22" s="245"/>
      <c r="R22" s="246"/>
      <c r="S22" s="246"/>
      <c r="T22" s="246"/>
      <c r="U22" s="246"/>
      <c r="V22" s="247"/>
    </row>
    <row r="23" spans="1:22" ht="15.75" thickBot="1">
      <c r="A23" s="242"/>
      <c r="B23" s="257"/>
      <c r="C23" s="258"/>
      <c r="D23" s="259"/>
      <c r="E23" s="259"/>
      <c r="F23" s="259"/>
      <c r="G23" s="259"/>
      <c r="H23" s="259"/>
      <c r="I23" s="259"/>
      <c r="J23" s="260"/>
      <c r="K23" s="260"/>
      <c r="L23" s="259"/>
      <c r="M23" s="259"/>
      <c r="N23" s="259"/>
      <c r="O23" s="260"/>
      <c r="P23" s="260"/>
      <c r="Q23" s="259"/>
      <c r="R23" s="260"/>
      <c r="S23" s="260"/>
      <c r="T23" s="260"/>
      <c r="U23" s="260"/>
      <c r="V23" s="247"/>
    </row>
    <row r="24" spans="1:22" ht="15.75" thickTop="1">
      <c r="A24" s="242"/>
      <c r="B24" s="243"/>
      <c r="C24" s="244"/>
      <c r="D24" s="245"/>
      <c r="E24" s="245"/>
      <c r="F24" s="245"/>
      <c r="G24" s="245"/>
      <c r="H24" s="245"/>
      <c r="I24" s="245"/>
      <c r="J24" s="246"/>
      <c r="K24" s="246"/>
      <c r="L24" s="245"/>
      <c r="M24" s="245"/>
      <c r="N24" s="245"/>
      <c r="O24" s="246"/>
      <c r="P24" s="246"/>
      <c r="Q24" s="245"/>
      <c r="R24" s="246"/>
      <c r="S24" s="246"/>
      <c r="T24" s="246"/>
      <c r="U24" s="246"/>
      <c r="V24" s="247"/>
    </row>
    <row r="25" spans="1:22">
      <c r="A25" s="242"/>
      <c r="B25" s="243"/>
      <c r="C25" s="244"/>
      <c r="D25" s="245"/>
      <c r="E25" s="245"/>
      <c r="F25" s="245"/>
      <c r="G25" s="245"/>
      <c r="H25" s="245"/>
      <c r="I25" s="245"/>
      <c r="J25" s="246"/>
      <c r="K25" s="246"/>
      <c r="L25" s="245"/>
      <c r="M25" s="245"/>
      <c r="N25" s="245"/>
      <c r="O25" s="246"/>
      <c r="P25" s="246"/>
      <c r="Q25" s="245"/>
      <c r="R25" s="246"/>
      <c r="S25" s="246"/>
      <c r="T25" s="246"/>
      <c r="U25" s="246"/>
      <c r="V25" s="247"/>
    </row>
    <row r="26" spans="1:22">
      <c r="A26" s="242"/>
      <c r="B26" s="248"/>
      <c r="C26" s="249"/>
      <c r="D26" s="250"/>
      <c r="E26" s="250"/>
      <c r="F26" s="250"/>
      <c r="G26" s="250"/>
      <c r="H26" s="250"/>
      <c r="I26" s="250"/>
      <c r="J26" s="253"/>
      <c r="K26" s="253"/>
      <c r="L26" s="250"/>
      <c r="M26" s="250"/>
      <c r="N26" s="250"/>
      <c r="O26" s="253"/>
      <c r="P26" s="253"/>
      <c r="Q26" s="250"/>
      <c r="R26" s="253"/>
      <c r="S26" s="253"/>
      <c r="T26" s="253"/>
      <c r="U26" s="253"/>
      <c r="V26" s="247"/>
    </row>
    <row r="27" spans="1:22">
      <c r="A27" s="242"/>
      <c r="B27" s="219"/>
      <c r="C27" s="239"/>
      <c r="D27" s="240"/>
      <c r="E27" s="240"/>
      <c r="F27" s="240"/>
      <c r="G27" s="240"/>
      <c r="H27" s="240"/>
      <c r="I27" s="240"/>
      <c r="J27" s="241"/>
      <c r="K27" s="241"/>
      <c r="L27" s="240"/>
      <c r="M27" s="240"/>
      <c r="N27" s="240"/>
      <c r="O27" s="241"/>
      <c r="P27" s="241"/>
      <c r="Q27" s="240"/>
      <c r="R27" s="241"/>
      <c r="S27" s="241"/>
      <c r="T27" s="241"/>
      <c r="U27" s="241"/>
      <c r="V27" s="247"/>
    </row>
    <row r="28" spans="1:22">
      <c r="A28" s="242"/>
      <c r="B28" s="243"/>
      <c r="C28" s="244"/>
      <c r="D28" s="245"/>
      <c r="E28" s="245"/>
      <c r="F28" s="254"/>
      <c r="G28" s="254"/>
      <c r="H28" s="245"/>
      <c r="I28" s="245"/>
      <c r="J28" s="246"/>
      <c r="K28" s="246"/>
      <c r="L28" s="245"/>
      <c r="M28" s="245"/>
      <c r="N28" s="245"/>
      <c r="O28" s="246"/>
      <c r="P28" s="246"/>
      <c r="Q28" s="245"/>
      <c r="R28" s="246"/>
      <c r="S28" s="246"/>
      <c r="T28" s="246"/>
      <c r="U28" s="246"/>
      <c r="V28" s="247"/>
    </row>
    <row r="29" spans="1:22">
      <c r="A29" s="242"/>
      <c r="B29" s="248"/>
      <c r="C29" s="249"/>
      <c r="D29" s="250"/>
      <c r="E29" s="250"/>
      <c r="F29" s="252"/>
      <c r="G29" s="252"/>
      <c r="H29" s="250"/>
      <c r="I29" s="250"/>
      <c r="J29" s="253"/>
      <c r="K29" s="253"/>
      <c r="L29" s="250"/>
      <c r="M29" s="250"/>
      <c r="N29" s="250"/>
      <c r="O29" s="253"/>
      <c r="P29" s="253"/>
      <c r="Q29" s="250"/>
      <c r="R29" s="253"/>
      <c r="S29" s="253"/>
      <c r="T29" s="253"/>
      <c r="U29" s="253"/>
      <c r="V29" s="247"/>
    </row>
    <row r="30" spans="1:22">
      <c r="A30" s="242"/>
      <c r="B30" s="219"/>
      <c r="C30" s="239"/>
      <c r="D30" s="240"/>
      <c r="E30" s="240"/>
      <c r="F30" s="240"/>
      <c r="G30" s="240"/>
      <c r="H30" s="240"/>
      <c r="I30" s="240"/>
      <c r="J30" s="241"/>
      <c r="K30" s="241"/>
      <c r="L30" s="240"/>
      <c r="M30" s="240"/>
      <c r="N30" s="240"/>
      <c r="O30" s="241"/>
      <c r="P30" s="241"/>
      <c r="Q30" s="240"/>
      <c r="R30" s="241"/>
      <c r="S30" s="241"/>
      <c r="T30" s="241"/>
      <c r="U30" s="241"/>
      <c r="V30" s="247"/>
    </row>
    <row r="31" spans="1:22">
      <c r="A31" s="242"/>
      <c r="B31" s="243"/>
      <c r="C31" s="244"/>
      <c r="D31" s="245"/>
      <c r="E31" s="245"/>
      <c r="F31" s="245"/>
      <c r="G31" s="245"/>
      <c r="H31" s="245"/>
      <c r="I31" s="245"/>
      <c r="J31" s="246"/>
      <c r="K31" s="246"/>
      <c r="L31" s="245"/>
      <c r="M31" s="245"/>
      <c r="N31" s="245"/>
      <c r="O31" s="246"/>
      <c r="P31" s="246"/>
      <c r="Q31" s="245"/>
      <c r="R31" s="246"/>
      <c r="S31" s="246"/>
      <c r="T31" s="246"/>
      <c r="U31" s="246"/>
      <c r="V31" s="247"/>
    </row>
    <row r="32" spans="1:22">
      <c r="A32" s="242"/>
      <c r="B32" s="248"/>
      <c r="C32" s="249"/>
      <c r="D32" s="250"/>
      <c r="E32" s="250"/>
      <c r="F32" s="250"/>
      <c r="G32" s="250"/>
      <c r="H32" s="250"/>
      <c r="I32" s="250"/>
      <c r="J32" s="253"/>
      <c r="K32" s="253"/>
      <c r="L32" s="250"/>
      <c r="M32" s="250"/>
      <c r="N32" s="250"/>
      <c r="O32" s="253"/>
      <c r="P32" s="253"/>
      <c r="Q32" s="250"/>
      <c r="R32" s="253"/>
      <c r="S32" s="253"/>
      <c r="T32" s="253"/>
      <c r="U32" s="253"/>
      <c r="V32" s="247"/>
    </row>
    <row r="33" spans="1:22">
      <c r="A33" s="242"/>
      <c r="B33" s="219"/>
      <c r="C33" s="239"/>
      <c r="D33" s="240"/>
      <c r="E33" s="240"/>
      <c r="F33" s="240"/>
      <c r="G33" s="240"/>
      <c r="H33" s="240"/>
      <c r="I33" s="240"/>
      <c r="J33" s="241"/>
      <c r="K33" s="241"/>
      <c r="L33" s="240"/>
      <c r="M33" s="240"/>
      <c r="N33" s="240"/>
      <c r="O33" s="241"/>
      <c r="P33" s="241"/>
      <c r="Q33" s="240"/>
      <c r="R33" s="241"/>
      <c r="S33" s="241"/>
      <c r="T33" s="241"/>
      <c r="U33" s="241"/>
      <c r="V33" s="247"/>
    </row>
    <row r="34" spans="1:22">
      <c r="A34" s="242"/>
      <c r="B34" s="243"/>
      <c r="C34" s="244"/>
      <c r="D34" s="245"/>
      <c r="E34" s="245"/>
      <c r="F34" s="245"/>
      <c r="G34" s="245"/>
      <c r="H34" s="245"/>
      <c r="I34" s="245"/>
      <c r="J34" s="246"/>
      <c r="K34" s="246"/>
      <c r="L34" s="245"/>
      <c r="M34" s="245"/>
      <c r="N34" s="245"/>
      <c r="O34" s="246"/>
      <c r="P34" s="246"/>
      <c r="Q34" s="245"/>
      <c r="R34" s="246"/>
      <c r="S34" s="246"/>
      <c r="T34" s="246"/>
      <c r="U34" s="246"/>
      <c r="V34" s="247"/>
    </row>
    <row r="35" spans="1:22">
      <c r="A35" s="242"/>
      <c r="B35" s="248"/>
      <c r="C35" s="249"/>
      <c r="D35" s="250"/>
      <c r="E35" s="250"/>
      <c r="F35" s="250"/>
      <c r="G35" s="250"/>
      <c r="H35" s="250"/>
      <c r="I35" s="250"/>
      <c r="J35" s="253"/>
      <c r="K35" s="253"/>
      <c r="L35" s="250"/>
      <c r="M35" s="250"/>
      <c r="N35" s="250"/>
      <c r="O35" s="253"/>
      <c r="P35" s="253"/>
      <c r="Q35" s="250"/>
      <c r="R35" s="253"/>
      <c r="S35" s="253"/>
      <c r="T35" s="253"/>
      <c r="U35" s="253"/>
      <c r="V35" s="247"/>
    </row>
    <row r="36" spans="1:22">
      <c r="A36" s="242"/>
      <c r="B36" s="219"/>
      <c r="C36" s="239"/>
      <c r="D36" s="240"/>
      <c r="E36" s="240"/>
      <c r="F36" s="240"/>
      <c r="G36" s="240"/>
      <c r="H36" s="240"/>
      <c r="I36" s="240"/>
      <c r="J36" s="241"/>
      <c r="K36" s="241"/>
      <c r="L36" s="240"/>
      <c r="M36" s="240"/>
      <c r="N36" s="240"/>
      <c r="O36" s="241"/>
      <c r="P36" s="241"/>
      <c r="Q36" s="240"/>
      <c r="R36" s="241"/>
      <c r="S36" s="241"/>
      <c r="T36" s="241"/>
      <c r="U36" s="241"/>
      <c r="V36" s="247"/>
    </row>
    <row r="37" spans="1:22">
      <c r="A37" s="242"/>
      <c r="B37" s="243"/>
      <c r="C37" s="244"/>
      <c r="D37" s="245"/>
      <c r="E37" s="245"/>
      <c r="F37" s="245"/>
      <c r="G37" s="245"/>
      <c r="H37" s="245"/>
      <c r="I37" s="245"/>
      <c r="J37" s="246"/>
      <c r="K37" s="246"/>
      <c r="L37" s="245"/>
      <c r="M37" s="245"/>
      <c r="N37" s="245"/>
      <c r="O37" s="246"/>
      <c r="P37" s="246"/>
      <c r="Q37" s="245"/>
      <c r="R37" s="246"/>
      <c r="S37" s="246"/>
      <c r="T37" s="246"/>
      <c r="U37" s="246"/>
      <c r="V37" s="247"/>
    </row>
    <row r="38" spans="1:22">
      <c r="A38" s="242"/>
      <c r="B38" s="248"/>
      <c r="C38" s="249"/>
      <c r="D38" s="250"/>
      <c r="E38" s="250"/>
      <c r="F38" s="250"/>
      <c r="G38" s="250"/>
      <c r="H38" s="250"/>
      <c r="I38" s="250"/>
      <c r="J38" s="253"/>
      <c r="K38" s="253"/>
      <c r="L38" s="250"/>
      <c r="M38" s="250"/>
      <c r="N38" s="250"/>
      <c r="O38" s="253"/>
      <c r="P38" s="253"/>
      <c r="Q38" s="250"/>
      <c r="R38" s="253"/>
      <c r="S38" s="253"/>
      <c r="T38" s="253"/>
      <c r="U38" s="253"/>
      <c r="V38" s="247"/>
    </row>
    <row r="39" spans="1:22">
      <c r="A39" s="242"/>
      <c r="B39" s="219"/>
      <c r="C39" s="239"/>
      <c r="D39" s="240"/>
      <c r="E39" s="240"/>
      <c r="F39" s="240"/>
      <c r="G39" s="240"/>
      <c r="H39" s="240"/>
      <c r="I39" s="240"/>
      <c r="J39" s="241"/>
      <c r="K39" s="241"/>
      <c r="L39" s="240"/>
      <c r="M39" s="240"/>
      <c r="N39" s="240"/>
      <c r="O39" s="241"/>
      <c r="P39" s="241"/>
      <c r="Q39" s="240"/>
      <c r="R39" s="241"/>
      <c r="S39" s="241"/>
      <c r="T39" s="241"/>
      <c r="U39" s="241"/>
      <c r="V39" s="247"/>
    </row>
    <row r="40" spans="1:22">
      <c r="A40" s="242"/>
      <c r="B40" s="243"/>
      <c r="C40" s="244"/>
      <c r="D40" s="245"/>
      <c r="E40" s="245"/>
      <c r="F40" s="245"/>
      <c r="G40" s="245"/>
      <c r="H40" s="245"/>
      <c r="I40" s="245"/>
      <c r="J40" s="246"/>
      <c r="K40" s="246"/>
      <c r="L40" s="245"/>
      <c r="M40" s="245"/>
      <c r="N40" s="245"/>
      <c r="O40" s="246"/>
      <c r="P40" s="246"/>
      <c r="Q40" s="245"/>
      <c r="R40" s="246"/>
      <c r="S40" s="246"/>
      <c r="T40" s="246"/>
      <c r="U40" s="246"/>
      <c r="V40" s="247"/>
    </row>
    <row r="41" spans="1:22" ht="15.75" thickBot="1">
      <c r="A41" s="261"/>
      <c r="B41" s="262"/>
      <c r="C41" s="263"/>
      <c r="D41" s="264"/>
      <c r="E41" s="264"/>
      <c r="F41" s="264"/>
      <c r="G41" s="264"/>
      <c r="H41" s="264"/>
      <c r="I41" s="264"/>
      <c r="J41" s="265"/>
      <c r="K41" s="265"/>
      <c r="L41" s="264"/>
      <c r="M41" s="264"/>
      <c r="N41" s="264"/>
      <c r="O41" s="265"/>
      <c r="P41" s="265"/>
      <c r="Q41" s="264"/>
      <c r="R41" s="265"/>
      <c r="S41" s="265"/>
      <c r="T41" s="265"/>
      <c r="U41" s="265"/>
      <c r="V41" s="247"/>
    </row>
    <row r="42" spans="1:22">
      <c r="A42" s="266"/>
      <c r="B42" s="243"/>
      <c r="C42" s="244"/>
      <c r="D42" s="245"/>
      <c r="E42" s="245"/>
      <c r="F42" s="245"/>
      <c r="G42" s="245"/>
      <c r="H42" s="245"/>
      <c r="I42" s="245"/>
      <c r="J42" s="246"/>
      <c r="K42" s="246"/>
      <c r="L42" s="245"/>
      <c r="M42" s="245"/>
      <c r="N42" s="245"/>
      <c r="O42" s="246"/>
      <c r="P42" s="246"/>
      <c r="Q42" s="245"/>
      <c r="R42" s="246"/>
      <c r="S42" s="246"/>
      <c r="T42" s="246"/>
      <c r="U42" s="246"/>
      <c r="V42" s="247"/>
    </row>
    <row r="43" spans="1:22">
      <c r="A43" s="242"/>
      <c r="B43" s="243"/>
      <c r="C43" s="244"/>
      <c r="D43" s="245"/>
      <c r="E43" s="245"/>
      <c r="F43" s="245"/>
      <c r="G43" s="245"/>
      <c r="H43" s="245"/>
      <c r="I43" s="245"/>
      <c r="J43" s="246"/>
      <c r="K43" s="246"/>
      <c r="L43" s="245"/>
      <c r="M43" s="245"/>
      <c r="N43" s="245"/>
      <c r="O43" s="246"/>
      <c r="P43" s="246"/>
      <c r="Q43" s="245"/>
      <c r="R43" s="246"/>
      <c r="S43" s="246"/>
      <c r="T43" s="246"/>
      <c r="U43" s="246"/>
      <c r="V43" s="247"/>
    </row>
    <row r="44" spans="1:22">
      <c r="A44" s="242"/>
      <c r="B44" s="248"/>
      <c r="C44" s="249"/>
      <c r="D44" s="250"/>
      <c r="E44" s="250"/>
      <c r="F44" s="250"/>
      <c r="G44" s="250"/>
      <c r="H44" s="250"/>
      <c r="I44" s="250"/>
      <c r="J44" s="253"/>
      <c r="K44" s="253"/>
      <c r="L44" s="250"/>
      <c r="M44" s="252"/>
      <c r="N44" s="250"/>
      <c r="O44" s="253"/>
      <c r="P44" s="253"/>
      <c r="Q44" s="250"/>
      <c r="R44" s="253"/>
      <c r="S44" s="253"/>
      <c r="T44" s="253"/>
      <c r="U44" s="253"/>
      <c r="V44" s="247"/>
    </row>
    <row r="45" spans="1:22">
      <c r="A45" s="242"/>
      <c r="B45" s="219"/>
      <c r="C45" s="239"/>
      <c r="D45" s="240"/>
      <c r="E45" s="240"/>
      <c r="F45" s="240"/>
      <c r="G45" s="240"/>
      <c r="H45" s="240"/>
      <c r="I45" s="240"/>
      <c r="J45" s="241"/>
      <c r="K45" s="241"/>
      <c r="L45" s="240"/>
      <c r="M45" s="240"/>
      <c r="N45" s="240"/>
      <c r="O45" s="241"/>
      <c r="P45" s="241"/>
      <c r="Q45" s="240"/>
      <c r="R45" s="241"/>
      <c r="S45" s="241"/>
      <c r="T45" s="241"/>
      <c r="U45" s="241"/>
      <c r="V45" s="247"/>
    </row>
    <row r="46" spans="1:22">
      <c r="A46" s="242"/>
      <c r="B46" s="243"/>
      <c r="C46" s="244"/>
      <c r="D46" s="245"/>
      <c r="E46" s="245"/>
      <c r="F46" s="245"/>
      <c r="G46" s="245"/>
      <c r="H46" s="245"/>
      <c r="I46" s="245"/>
      <c r="J46" s="246"/>
      <c r="K46" s="246"/>
      <c r="L46" s="245"/>
      <c r="M46" s="245"/>
      <c r="N46" s="245"/>
      <c r="O46" s="246"/>
      <c r="P46" s="246"/>
      <c r="Q46" s="245"/>
      <c r="R46" s="246"/>
      <c r="S46" s="246"/>
      <c r="T46" s="246"/>
      <c r="U46" s="246"/>
      <c r="V46" s="247"/>
    </row>
    <row r="47" spans="1:22">
      <c r="A47" s="242"/>
      <c r="B47" s="248"/>
      <c r="C47" s="249"/>
      <c r="D47" s="250"/>
      <c r="E47" s="250"/>
      <c r="F47" s="250"/>
      <c r="G47" s="250"/>
      <c r="H47" s="250"/>
      <c r="I47" s="250"/>
      <c r="J47" s="253"/>
      <c r="K47" s="253"/>
      <c r="L47" s="250"/>
      <c r="M47" s="250"/>
      <c r="N47" s="250"/>
      <c r="O47" s="253"/>
      <c r="P47" s="253"/>
      <c r="Q47" s="250"/>
      <c r="R47" s="253"/>
      <c r="S47" s="253"/>
      <c r="T47" s="253"/>
      <c r="U47" s="253"/>
      <c r="V47" s="247"/>
    </row>
    <row r="48" spans="1:22">
      <c r="A48" s="242"/>
      <c r="B48" s="219"/>
      <c r="C48" s="239"/>
      <c r="D48" s="240"/>
      <c r="E48" s="240"/>
      <c r="F48" s="240"/>
      <c r="G48" s="240"/>
      <c r="H48" s="240"/>
      <c r="I48" s="240"/>
      <c r="J48" s="241"/>
      <c r="K48" s="241"/>
      <c r="L48" s="240"/>
      <c r="M48" s="240"/>
      <c r="N48" s="240"/>
      <c r="O48" s="241"/>
      <c r="P48" s="241"/>
      <c r="Q48" s="240"/>
      <c r="R48" s="241"/>
      <c r="S48" s="241"/>
      <c r="T48" s="241"/>
      <c r="U48" s="241"/>
      <c r="V48" s="247"/>
    </row>
    <row r="49" spans="1:22">
      <c r="A49" s="242"/>
      <c r="B49" s="243"/>
      <c r="C49" s="244"/>
      <c r="D49" s="245"/>
      <c r="E49" s="245"/>
      <c r="F49" s="245"/>
      <c r="G49" s="245"/>
      <c r="H49" s="245"/>
      <c r="I49" s="245"/>
      <c r="J49" s="246"/>
      <c r="K49" s="246"/>
      <c r="L49" s="245"/>
      <c r="M49" s="245"/>
      <c r="N49" s="245"/>
      <c r="O49" s="246"/>
      <c r="P49" s="246"/>
      <c r="Q49" s="245"/>
      <c r="R49" s="246"/>
      <c r="S49" s="246"/>
      <c r="T49" s="246"/>
      <c r="U49" s="246"/>
      <c r="V49" s="247"/>
    </row>
    <row r="50" spans="1:22">
      <c r="A50" s="242"/>
      <c r="B50" s="248"/>
      <c r="C50" s="249"/>
      <c r="D50" s="250"/>
      <c r="E50" s="250"/>
      <c r="F50" s="250"/>
      <c r="G50" s="250"/>
      <c r="H50" s="250"/>
      <c r="I50" s="250"/>
      <c r="J50" s="253"/>
      <c r="K50" s="253"/>
      <c r="L50" s="250"/>
      <c r="M50" s="250"/>
      <c r="N50" s="250"/>
      <c r="O50" s="253"/>
      <c r="P50" s="253"/>
      <c r="Q50" s="250"/>
      <c r="R50" s="253"/>
      <c r="S50" s="253"/>
      <c r="T50" s="253"/>
      <c r="U50" s="253"/>
      <c r="V50" s="247"/>
    </row>
    <row r="51" spans="1:22">
      <c r="A51" s="242"/>
      <c r="B51" s="219"/>
      <c r="C51" s="239"/>
      <c r="D51" s="240"/>
      <c r="E51" s="240"/>
      <c r="F51" s="240"/>
      <c r="G51" s="240"/>
      <c r="H51" s="240"/>
      <c r="I51" s="240"/>
      <c r="J51" s="241"/>
      <c r="K51" s="241"/>
      <c r="L51" s="240"/>
      <c r="M51" s="240"/>
      <c r="N51" s="240"/>
      <c r="O51" s="241"/>
      <c r="P51" s="241"/>
      <c r="Q51" s="240"/>
      <c r="R51" s="241"/>
      <c r="S51" s="241"/>
      <c r="T51" s="241"/>
      <c r="U51" s="241"/>
      <c r="V51" s="247"/>
    </row>
    <row r="52" spans="1:22">
      <c r="A52" s="242"/>
      <c r="B52" s="243"/>
      <c r="C52" s="244"/>
      <c r="D52" s="245"/>
      <c r="E52" s="245"/>
      <c r="F52" s="245"/>
      <c r="G52" s="254"/>
      <c r="H52" s="254"/>
      <c r="I52" s="245"/>
      <c r="J52" s="246"/>
      <c r="K52" s="246"/>
      <c r="L52" s="245"/>
      <c r="M52" s="245"/>
      <c r="N52" s="245"/>
      <c r="O52" s="246"/>
      <c r="P52" s="246"/>
      <c r="Q52" s="245"/>
      <c r="R52" s="246"/>
      <c r="S52" s="246"/>
      <c r="T52" s="246"/>
      <c r="U52" s="246"/>
      <c r="V52" s="247"/>
    </row>
    <row r="53" spans="1:22">
      <c r="A53" s="242"/>
      <c r="B53" s="248"/>
      <c r="C53" s="249"/>
      <c r="D53" s="250"/>
      <c r="E53" s="250"/>
      <c r="F53" s="250"/>
      <c r="G53" s="252"/>
      <c r="H53" s="252"/>
      <c r="I53" s="250"/>
      <c r="J53" s="253"/>
      <c r="K53" s="253"/>
      <c r="L53" s="250"/>
      <c r="M53" s="250"/>
      <c r="N53" s="250"/>
      <c r="O53" s="253"/>
      <c r="P53" s="253"/>
      <c r="Q53" s="250"/>
      <c r="R53" s="253"/>
      <c r="S53" s="253"/>
      <c r="T53" s="253"/>
      <c r="U53" s="253"/>
      <c r="V53" s="247"/>
    </row>
    <row r="54" spans="1:22">
      <c r="A54" s="242"/>
      <c r="B54" s="219"/>
      <c r="C54" s="239"/>
      <c r="D54" s="240"/>
      <c r="E54" s="240"/>
      <c r="F54" s="240"/>
      <c r="G54" s="240"/>
      <c r="H54" s="240"/>
      <c r="I54" s="240"/>
      <c r="J54" s="241"/>
      <c r="K54" s="241"/>
      <c r="L54" s="240"/>
      <c r="M54" s="240"/>
      <c r="N54" s="240"/>
      <c r="O54" s="241"/>
      <c r="P54" s="241"/>
      <c r="Q54" s="240"/>
      <c r="R54" s="241"/>
      <c r="S54" s="241"/>
      <c r="T54" s="241"/>
      <c r="U54" s="241"/>
      <c r="V54" s="247"/>
    </row>
    <row r="55" spans="1:22">
      <c r="A55" s="242"/>
      <c r="B55" s="243"/>
      <c r="C55" s="244"/>
      <c r="D55" s="245"/>
      <c r="E55" s="245"/>
      <c r="F55" s="245"/>
      <c r="G55" s="245"/>
      <c r="H55" s="245"/>
      <c r="I55" s="245"/>
      <c r="J55" s="246"/>
      <c r="K55" s="246"/>
      <c r="L55" s="245"/>
      <c r="M55" s="245"/>
      <c r="N55" s="245"/>
      <c r="O55" s="246"/>
      <c r="P55" s="246"/>
      <c r="Q55" s="245"/>
      <c r="R55" s="246"/>
      <c r="S55" s="246"/>
      <c r="T55" s="246"/>
      <c r="U55" s="246"/>
      <c r="V55" s="247"/>
    </row>
    <row r="56" spans="1:22">
      <c r="A56" s="242"/>
      <c r="B56" s="248"/>
      <c r="C56" s="249"/>
      <c r="D56" s="250"/>
      <c r="E56" s="250"/>
      <c r="F56" s="250"/>
      <c r="G56" s="250"/>
      <c r="H56" s="250"/>
      <c r="I56" s="250"/>
      <c r="J56" s="253"/>
      <c r="K56" s="253"/>
      <c r="L56" s="250"/>
      <c r="M56" s="250"/>
      <c r="N56" s="250"/>
      <c r="O56" s="253"/>
      <c r="P56" s="253"/>
      <c r="Q56" s="250"/>
      <c r="R56" s="253"/>
      <c r="S56" s="253"/>
      <c r="T56" s="253"/>
      <c r="U56" s="253"/>
      <c r="V56" s="247"/>
    </row>
    <row r="57" spans="1:22">
      <c r="A57" s="242"/>
      <c r="B57" s="219"/>
      <c r="C57" s="239"/>
      <c r="D57" s="240"/>
      <c r="E57" s="240"/>
      <c r="F57" s="240"/>
      <c r="G57" s="240"/>
      <c r="H57" s="240"/>
      <c r="I57" s="240"/>
      <c r="J57" s="241"/>
      <c r="K57" s="241"/>
      <c r="L57" s="240"/>
      <c r="M57" s="240"/>
      <c r="N57" s="240"/>
      <c r="O57" s="241"/>
      <c r="P57" s="241"/>
      <c r="Q57" s="240"/>
      <c r="R57" s="241"/>
      <c r="S57" s="241"/>
      <c r="T57" s="241"/>
      <c r="U57" s="241"/>
      <c r="V57" s="247"/>
    </row>
    <row r="58" spans="1:22">
      <c r="A58" s="242"/>
      <c r="B58" s="243"/>
      <c r="C58" s="244"/>
      <c r="D58" s="245"/>
      <c r="E58" s="245"/>
      <c r="F58" s="245"/>
      <c r="G58" s="245"/>
      <c r="H58" s="245"/>
      <c r="I58" s="245"/>
      <c r="J58" s="246"/>
      <c r="K58" s="246"/>
      <c r="L58" s="245"/>
      <c r="M58" s="245"/>
      <c r="N58" s="245"/>
      <c r="O58" s="246"/>
      <c r="P58" s="246"/>
      <c r="Q58" s="245"/>
      <c r="R58" s="246"/>
      <c r="S58" s="246"/>
      <c r="T58" s="246"/>
      <c r="U58" s="246"/>
      <c r="V58" s="247"/>
    </row>
    <row r="59" spans="1:22" ht="15.75" thickBot="1">
      <c r="A59" s="242"/>
      <c r="B59" s="257"/>
      <c r="C59" s="258"/>
      <c r="D59" s="259"/>
      <c r="E59" s="259"/>
      <c r="F59" s="259"/>
      <c r="G59" s="259"/>
      <c r="H59" s="259"/>
      <c r="I59" s="259"/>
      <c r="J59" s="260"/>
      <c r="K59" s="260"/>
      <c r="L59" s="259"/>
      <c r="M59" s="259"/>
      <c r="N59" s="259"/>
      <c r="O59" s="260"/>
      <c r="P59" s="260"/>
      <c r="Q59" s="259"/>
      <c r="R59" s="260"/>
      <c r="S59" s="260"/>
      <c r="T59" s="260"/>
      <c r="U59" s="260"/>
      <c r="V59" s="247"/>
    </row>
    <row r="60" spans="1:22" ht="15.75" thickTop="1">
      <c r="A60" s="242"/>
      <c r="B60" s="243"/>
      <c r="C60" s="244"/>
      <c r="D60" s="245"/>
      <c r="E60" s="245"/>
      <c r="F60" s="245"/>
      <c r="G60" s="245"/>
      <c r="H60" s="245"/>
      <c r="I60" s="245"/>
      <c r="J60" s="246"/>
      <c r="K60" s="246"/>
      <c r="L60" s="245"/>
      <c r="M60" s="245"/>
      <c r="N60" s="245"/>
      <c r="O60" s="246"/>
      <c r="P60" s="246"/>
      <c r="Q60" s="245"/>
      <c r="R60" s="246"/>
      <c r="S60" s="246"/>
      <c r="T60" s="246"/>
      <c r="U60" s="246"/>
      <c r="V60" s="247"/>
    </row>
    <row r="61" spans="1:22">
      <c r="A61" s="242"/>
      <c r="B61" s="243"/>
      <c r="C61" s="244"/>
      <c r="D61" s="245"/>
      <c r="E61" s="245"/>
      <c r="F61" s="245"/>
      <c r="G61" s="245"/>
      <c r="H61" s="245"/>
      <c r="I61" s="245"/>
      <c r="J61" s="246"/>
      <c r="K61" s="246"/>
      <c r="L61" s="245"/>
      <c r="M61" s="245"/>
      <c r="N61" s="245"/>
      <c r="O61" s="246"/>
      <c r="P61" s="246"/>
      <c r="Q61" s="245"/>
      <c r="R61" s="246"/>
      <c r="S61" s="246"/>
      <c r="T61" s="246"/>
      <c r="U61" s="246"/>
      <c r="V61" s="247"/>
    </row>
    <row r="62" spans="1:22">
      <c r="A62" s="242"/>
      <c r="B62" s="248"/>
      <c r="C62" s="249"/>
      <c r="D62" s="250"/>
      <c r="E62" s="250"/>
      <c r="F62" s="250"/>
      <c r="G62" s="250"/>
      <c r="H62" s="250"/>
      <c r="I62" s="250"/>
      <c r="J62" s="253"/>
      <c r="K62" s="253"/>
      <c r="L62" s="250"/>
      <c r="M62" s="250"/>
      <c r="N62" s="250"/>
      <c r="O62" s="253"/>
      <c r="P62" s="253"/>
      <c r="Q62" s="250"/>
      <c r="R62" s="253"/>
      <c r="S62" s="253"/>
      <c r="T62" s="253"/>
      <c r="U62" s="253"/>
      <c r="V62" s="247"/>
    </row>
    <row r="63" spans="1:22">
      <c r="A63" s="242"/>
      <c r="B63" s="219"/>
      <c r="C63" s="239"/>
      <c r="D63" s="240"/>
      <c r="E63" s="240"/>
      <c r="F63" s="240"/>
      <c r="G63" s="240"/>
      <c r="H63" s="240"/>
      <c r="I63" s="240"/>
      <c r="J63" s="241"/>
      <c r="K63" s="241"/>
      <c r="L63" s="240"/>
      <c r="M63" s="240"/>
      <c r="N63" s="240"/>
      <c r="O63" s="241"/>
      <c r="P63" s="241"/>
      <c r="Q63" s="240"/>
      <c r="R63" s="241"/>
      <c r="S63" s="241"/>
      <c r="T63" s="241"/>
      <c r="U63" s="241"/>
      <c r="V63" s="247"/>
    </row>
    <row r="64" spans="1:22">
      <c r="A64" s="242"/>
      <c r="B64" s="243"/>
      <c r="C64" s="244"/>
      <c r="D64" s="245"/>
      <c r="E64" s="245"/>
      <c r="F64" s="245"/>
      <c r="G64" s="245"/>
      <c r="H64" s="245"/>
      <c r="I64" s="245"/>
      <c r="J64" s="246"/>
      <c r="K64" s="246"/>
      <c r="L64" s="245"/>
      <c r="M64" s="245"/>
      <c r="N64" s="245"/>
      <c r="O64" s="246"/>
      <c r="P64" s="246"/>
      <c r="Q64" s="245"/>
      <c r="R64" s="246"/>
      <c r="S64" s="246"/>
      <c r="T64" s="246"/>
      <c r="U64" s="246"/>
      <c r="V64" s="247"/>
    </row>
    <row r="65" spans="1:23">
      <c r="A65" s="242"/>
      <c r="B65" s="248"/>
      <c r="C65" s="249"/>
      <c r="D65" s="250"/>
      <c r="E65" s="250"/>
      <c r="F65" s="252"/>
      <c r="G65" s="250"/>
      <c r="H65" s="250"/>
      <c r="I65" s="250"/>
      <c r="J65" s="253"/>
      <c r="K65" s="253"/>
      <c r="L65" s="250"/>
      <c r="M65" s="250"/>
      <c r="N65" s="250"/>
      <c r="O65" s="253"/>
      <c r="P65" s="253"/>
      <c r="Q65" s="250"/>
      <c r="R65" s="253"/>
      <c r="S65" s="253"/>
      <c r="T65" s="253"/>
      <c r="U65" s="253"/>
      <c r="V65" s="247"/>
    </row>
    <row r="66" spans="1:23">
      <c r="A66" s="242"/>
      <c r="B66" s="219"/>
      <c r="C66" s="239"/>
      <c r="D66" s="240"/>
      <c r="E66" s="240"/>
      <c r="F66" s="240"/>
      <c r="G66" s="240"/>
      <c r="H66" s="240"/>
      <c r="I66" s="240"/>
      <c r="J66" s="241"/>
      <c r="K66" s="241"/>
      <c r="L66" s="240"/>
      <c r="M66" s="240"/>
      <c r="N66" s="240"/>
      <c r="O66" s="241"/>
      <c r="P66" s="241"/>
      <c r="Q66" s="240"/>
      <c r="R66" s="241"/>
      <c r="S66" s="241"/>
      <c r="T66" s="241"/>
      <c r="U66" s="241"/>
      <c r="V66" s="247"/>
    </row>
    <row r="67" spans="1:23">
      <c r="A67" s="242"/>
      <c r="B67" s="243"/>
      <c r="C67" s="244"/>
      <c r="D67" s="245"/>
      <c r="E67" s="245"/>
      <c r="F67" s="245"/>
      <c r="G67" s="245"/>
      <c r="H67" s="245"/>
      <c r="I67" s="245"/>
      <c r="J67" s="246"/>
      <c r="K67" s="246"/>
      <c r="L67" s="245"/>
      <c r="M67" s="245"/>
      <c r="N67" s="245"/>
      <c r="O67" s="246"/>
      <c r="P67" s="246"/>
      <c r="Q67" s="245"/>
      <c r="R67" s="246"/>
      <c r="S67" s="246"/>
      <c r="T67" s="246"/>
      <c r="U67" s="246"/>
      <c r="V67" s="247"/>
    </row>
    <row r="68" spans="1:23">
      <c r="A68" s="242"/>
      <c r="B68" s="248"/>
      <c r="C68" s="249"/>
      <c r="D68" s="250"/>
      <c r="E68" s="250"/>
      <c r="F68" s="252"/>
      <c r="G68" s="250"/>
      <c r="H68" s="250"/>
      <c r="I68" s="250"/>
      <c r="J68" s="253"/>
      <c r="K68" s="253"/>
      <c r="L68" s="250"/>
      <c r="M68" s="250"/>
      <c r="N68" s="250"/>
      <c r="O68" s="253"/>
      <c r="P68" s="253"/>
      <c r="Q68" s="250"/>
      <c r="R68" s="253"/>
      <c r="S68" s="253"/>
      <c r="T68" s="253"/>
      <c r="U68" s="253"/>
      <c r="V68" s="247"/>
    </row>
    <row r="69" spans="1:23">
      <c r="A69" s="242"/>
      <c r="B69" s="219"/>
      <c r="C69" s="239"/>
      <c r="D69" s="240"/>
      <c r="E69" s="240"/>
      <c r="F69" s="240"/>
      <c r="G69" s="240"/>
      <c r="H69" s="240"/>
      <c r="I69" s="240"/>
      <c r="J69" s="241"/>
      <c r="K69" s="241"/>
      <c r="L69" s="240"/>
      <c r="M69" s="240"/>
      <c r="N69" s="240"/>
      <c r="O69" s="241"/>
      <c r="P69" s="241"/>
      <c r="Q69" s="240"/>
      <c r="R69" s="241"/>
      <c r="S69" s="241"/>
      <c r="T69" s="241"/>
      <c r="U69" s="241"/>
      <c r="V69" s="247"/>
    </row>
    <row r="70" spans="1:23">
      <c r="A70" s="242"/>
      <c r="B70" s="243"/>
      <c r="C70" s="244"/>
      <c r="D70" s="245"/>
      <c r="E70" s="245"/>
      <c r="F70" s="254"/>
      <c r="G70" s="245"/>
      <c r="H70" s="245"/>
      <c r="I70" s="245"/>
      <c r="J70" s="246"/>
      <c r="K70" s="246"/>
      <c r="L70" s="245"/>
      <c r="M70" s="245"/>
      <c r="N70" s="245"/>
      <c r="O70" s="246"/>
      <c r="P70" s="246"/>
      <c r="Q70" s="245"/>
      <c r="R70" s="246"/>
      <c r="S70" s="246"/>
      <c r="T70" s="246"/>
      <c r="U70" s="246"/>
      <c r="V70" s="247"/>
    </row>
    <row r="71" spans="1:23">
      <c r="A71" s="242"/>
      <c r="B71" s="248"/>
      <c r="C71" s="249"/>
      <c r="D71" s="250"/>
      <c r="E71" s="250"/>
      <c r="F71" s="250"/>
      <c r="G71" s="250"/>
      <c r="H71" s="250"/>
      <c r="I71" s="250"/>
      <c r="J71" s="253"/>
      <c r="K71" s="253"/>
      <c r="L71" s="250"/>
      <c r="M71" s="250"/>
      <c r="N71" s="250"/>
      <c r="O71" s="253"/>
      <c r="P71" s="253"/>
      <c r="Q71" s="250"/>
      <c r="R71" s="253"/>
      <c r="S71" s="253"/>
      <c r="T71" s="253"/>
      <c r="U71" s="253"/>
      <c r="V71" s="247"/>
    </row>
    <row r="72" spans="1:23">
      <c r="A72" s="242"/>
      <c r="B72" s="219"/>
      <c r="C72" s="239"/>
      <c r="D72" s="240"/>
      <c r="E72" s="240"/>
      <c r="F72" s="240"/>
      <c r="G72" s="240"/>
      <c r="H72" s="240"/>
      <c r="I72" s="240"/>
      <c r="J72" s="241"/>
      <c r="K72" s="241"/>
      <c r="L72" s="240"/>
      <c r="M72" s="240"/>
      <c r="N72" s="240"/>
      <c r="O72" s="241"/>
      <c r="P72" s="241"/>
      <c r="Q72" s="240"/>
      <c r="R72" s="241"/>
      <c r="S72" s="241"/>
      <c r="T72" s="241"/>
      <c r="U72" s="241"/>
      <c r="V72" s="247"/>
    </row>
    <row r="73" spans="1:23">
      <c r="A73" s="242"/>
      <c r="B73" s="243"/>
      <c r="C73" s="244"/>
      <c r="D73" s="245"/>
      <c r="E73" s="245"/>
      <c r="F73" s="245"/>
      <c r="G73" s="245"/>
      <c r="H73" s="245"/>
      <c r="I73" s="245"/>
      <c r="J73" s="246"/>
      <c r="K73" s="246"/>
      <c r="L73" s="245"/>
      <c r="M73" s="245"/>
      <c r="N73" s="245"/>
      <c r="O73" s="246"/>
      <c r="P73" s="246"/>
      <c r="Q73" s="245"/>
      <c r="R73" s="246"/>
      <c r="S73" s="246"/>
      <c r="T73" s="246"/>
      <c r="U73" s="246"/>
      <c r="V73" s="247"/>
    </row>
    <row r="74" spans="1:23">
      <c r="A74" s="242"/>
      <c r="B74" s="248"/>
      <c r="C74" s="249"/>
      <c r="D74" s="250"/>
      <c r="E74" s="250"/>
      <c r="F74" s="250"/>
      <c r="G74" s="250"/>
      <c r="H74" s="250"/>
      <c r="I74" s="250"/>
      <c r="J74" s="253"/>
      <c r="K74" s="253"/>
      <c r="L74" s="250"/>
      <c r="M74" s="250"/>
      <c r="N74" s="250"/>
      <c r="O74" s="253"/>
      <c r="P74" s="253"/>
      <c r="Q74" s="250"/>
      <c r="R74" s="253"/>
      <c r="S74" s="253"/>
      <c r="T74" s="253"/>
      <c r="U74" s="253"/>
      <c r="V74" s="247"/>
    </row>
    <row r="75" spans="1:23">
      <c r="A75" s="242"/>
      <c r="B75" s="219"/>
      <c r="C75" s="239"/>
      <c r="D75" s="240"/>
      <c r="E75" s="240"/>
      <c r="F75" s="240"/>
      <c r="G75" s="240"/>
      <c r="H75" s="240"/>
      <c r="I75" s="240"/>
      <c r="J75" s="241"/>
      <c r="K75" s="241"/>
      <c r="L75" s="240"/>
      <c r="M75" s="240"/>
      <c r="N75" s="240"/>
      <c r="O75" s="241"/>
      <c r="P75" s="241"/>
      <c r="Q75" s="240"/>
      <c r="R75" s="241"/>
      <c r="S75" s="241"/>
      <c r="T75" s="241"/>
      <c r="U75" s="241"/>
      <c r="V75" s="247"/>
    </row>
    <row r="76" spans="1:23">
      <c r="A76" s="242"/>
      <c r="B76" s="243"/>
      <c r="C76" s="244"/>
      <c r="D76" s="245"/>
      <c r="E76" s="245"/>
      <c r="F76" s="245"/>
      <c r="G76" s="245"/>
      <c r="H76" s="245"/>
      <c r="I76" s="245"/>
      <c r="J76" s="246"/>
      <c r="K76" s="246"/>
      <c r="L76" s="245"/>
      <c r="M76" s="245"/>
      <c r="N76" s="245"/>
      <c r="O76" s="246"/>
      <c r="P76" s="246"/>
      <c r="Q76" s="245"/>
      <c r="R76" s="246"/>
      <c r="S76" s="246"/>
      <c r="T76" s="246"/>
      <c r="U76" s="246"/>
      <c r="V76" s="247"/>
      <c r="W76" s="267"/>
    </row>
    <row r="77" spans="1:23" ht="15.75" thickBot="1">
      <c r="A77" s="261"/>
      <c r="B77" s="262"/>
      <c r="C77" s="263"/>
      <c r="D77" s="264"/>
      <c r="E77" s="264"/>
      <c r="F77" s="264"/>
      <c r="G77" s="264"/>
      <c r="H77" s="264"/>
      <c r="I77" s="264"/>
      <c r="J77" s="265"/>
      <c r="K77" s="265"/>
      <c r="L77" s="264"/>
      <c r="M77" s="264"/>
      <c r="N77" s="264"/>
      <c r="O77" s="265"/>
      <c r="P77" s="265"/>
      <c r="Q77" s="264"/>
      <c r="R77" s="265"/>
      <c r="S77" s="265"/>
      <c r="T77" s="265"/>
      <c r="U77" s="265"/>
      <c r="V77" s="247"/>
    </row>
    <row r="78" spans="1:23">
      <c r="A78" s="238"/>
      <c r="B78" s="219"/>
      <c r="C78" s="239"/>
      <c r="D78" s="240"/>
      <c r="E78" s="240"/>
      <c r="F78" s="240"/>
      <c r="G78" s="240"/>
      <c r="H78" s="240"/>
      <c r="I78" s="240"/>
      <c r="J78" s="241"/>
      <c r="K78" s="241"/>
      <c r="L78" s="240"/>
      <c r="M78" s="240"/>
      <c r="N78" s="240"/>
      <c r="O78" s="241"/>
      <c r="P78" s="241"/>
      <c r="Q78" s="240"/>
      <c r="R78" s="241"/>
      <c r="S78" s="241"/>
      <c r="T78" s="241"/>
      <c r="U78" s="241"/>
      <c r="V78" s="247"/>
    </row>
    <row r="79" spans="1:23">
      <c r="A79" s="242"/>
      <c r="B79" s="243"/>
      <c r="C79" s="244"/>
      <c r="D79" s="245"/>
      <c r="E79" s="245"/>
      <c r="F79" s="245"/>
      <c r="G79" s="245"/>
      <c r="H79" s="245"/>
      <c r="I79" s="245"/>
      <c r="J79" s="246"/>
      <c r="K79" s="246"/>
      <c r="L79" s="245"/>
      <c r="M79" s="245"/>
      <c r="N79" s="245"/>
      <c r="O79" s="246"/>
      <c r="P79" s="246"/>
      <c r="Q79" s="245"/>
      <c r="R79" s="246"/>
      <c r="S79" s="246"/>
      <c r="T79" s="246"/>
      <c r="U79" s="246"/>
      <c r="V79" s="247"/>
    </row>
    <row r="80" spans="1:23">
      <c r="A80" s="242"/>
      <c r="B80" s="248"/>
      <c r="C80" s="249"/>
      <c r="D80" s="250"/>
      <c r="E80" s="250"/>
      <c r="F80" s="250"/>
      <c r="G80" s="250"/>
      <c r="H80" s="250"/>
      <c r="I80" s="250"/>
      <c r="J80" s="253"/>
      <c r="K80" s="253"/>
      <c r="L80" s="250"/>
      <c r="M80" s="250"/>
      <c r="N80" s="250"/>
      <c r="O80" s="253"/>
      <c r="P80" s="253"/>
      <c r="Q80" s="250"/>
      <c r="R80" s="253"/>
      <c r="S80" s="253"/>
      <c r="T80" s="253"/>
      <c r="U80" s="253"/>
      <c r="V80" s="247"/>
    </row>
    <row r="81" spans="1:22">
      <c r="A81" s="242"/>
      <c r="B81" s="219"/>
      <c r="C81" s="239"/>
      <c r="D81" s="240"/>
      <c r="E81" s="240"/>
      <c r="F81" s="240"/>
      <c r="G81" s="240"/>
      <c r="H81" s="240"/>
      <c r="I81" s="240"/>
      <c r="J81" s="241"/>
      <c r="K81" s="241"/>
      <c r="L81" s="240"/>
      <c r="M81" s="240"/>
      <c r="N81" s="240"/>
      <c r="O81" s="241"/>
      <c r="P81" s="241"/>
      <c r="Q81" s="240"/>
      <c r="R81" s="241"/>
      <c r="S81" s="241"/>
      <c r="T81" s="241"/>
      <c r="U81" s="241"/>
      <c r="V81" s="247"/>
    </row>
    <row r="82" spans="1:22">
      <c r="A82" s="242"/>
      <c r="B82" s="243"/>
      <c r="C82" s="244"/>
      <c r="D82" s="245"/>
      <c r="E82" s="245"/>
      <c r="F82" s="245"/>
      <c r="G82" s="245"/>
      <c r="H82" s="245"/>
      <c r="I82" s="245"/>
      <c r="J82" s="246"/>
      <c r="K82" s="246"/>
      <c r="L82" s="245"/>
      <c r="M82" s="245"/>
      <c r="N82" s="245"/>
      <c r="O82" s="246"/>
      <c r="P82" s="246"/>
      <c r="Q82" s="245"/>
      <c r="R82" s="246"/>
      <c r="S82" s="246"/>
      <c r="T82" s="246"/>
      <c r="U82" s="246"/>
      <c r="V82" s="247"/>
    </row>
    <row r="83" spans="1:22">
      <c r="A83" s="242"/>
      <c r="B83" s="248"/>
      <c r="C83" s="249"/>
      <c r="D83" s="250"/>
      <c r="E83" s="250"/>
      <c r="F83" s="250"/>
      <c r="G83" s="250"/>
      <c r="H83" s="250"/>
      <c r="I83" s="250"/>
      <c r="J83" s="253"/>
      <c r="K83" s="253"/>
      <c r="L83" s="250"/>
      <c r="M83" s="250"/>
      <c r="N83" s="250"/>
      <c r="O83" s="253"/>
      <c r="P83" s="253"/>
      <c r="Q83" s="250"/>
      <c r="R83" s="253"/>
      <c r="S83" s="253"/>
      <c r="T83" s="253"/>
      <c r="U83" s="253"/>
      <c r="V83" s="247"/>
    </row>
    <row r="84" spans="1:22">
      <c r="A84" s="242"/>
      <c r="B84" s="219"/>
      <c r="C84" s="239"/>
      <c r="D84" s="240"/>
      <c r="E84" s="240"/>
      <c r="F84" s="240"/>
      <c r="G84" s="240"/>
      <c r="H84" s="240"/>
      <c r="I84" s="240"/>
      <c r="J84" s="241"/>
      <c r="K84" s="241"/>
      <c r="L84" s="240"/>
      <c r="M84" s="240"/>
      <c r="N84" s="240"/>
      <c r="O84" s="241"/>
      <c r="P84" s="241"/>
      <c r="Q84" s="240"/>
      <c r="R84" s="241"/>
      <c r="S84" s="241"/>
      <c r="T84" s="241"/>
      <c r="U84" s="241"/>
      <c r="V84" s="247"/>
    </row>
    <row r="85" spans="1:22">
      <c r="A85" s="242"/>
      <c r="B85" s="243"/>
      <c r="C85" s="244"/>
      <c r="D85" s="245"/>
      <c r="E85" s="245"/>
      <c r="F85" s="245"/>
      <c r="G85" s="245"/>
      <c r="H85" s="245"/>
      <c r="I85" s="245"/>
      <c r="J85" s="246"/>
      <c r="K85" s="246"/>
      <c r="L85" s="245"/>
      <c r="M85" s="245"/>
      <c r="N85" s="245"/>
      <c r="O85" s="246"/>
      <c r="P85" s="246"/>
      <c r="Q85" s="245"/>
      <c r="R85" s="246"/>
      <c r="S85" s="246"/>
      <c r="T85" s="246"/>
      <c r="U85" s="246"/>
      <c r="V85" s="247"/>
    </row>
    <row r="86" spans="1:22">
      <c r="A86" s="242"/>
      <c r="B86" s="248"/>
      <c r="C86" s="249"/>
      <c r="D86" s="250"/>
      <c r="E86" s="250"/>
      <c r="F86" s="250"/>
      <c r="G86" s="250"/>
      <c r="H86" s="250"/>
      <c r="I86" s="250"/>
      <c r="J86" s="253"/>
      <c r="K86" s="253"/>
      <c r="L86" s="250"/>
      <c r="M86" s="250"/>
      <c r="N86" s="250"/>
      <c r="O86" s="253"/>
      <c r="P86" s="253"/>
      <c r="Q86" s="250"/>
      <c r="R86" s="253"/>
      <c r="S86" s="253"/>
      <c r="T86" s="253"/>
      <c r="U86" s="253"/>
      <c r="V86" s="247"/>
    </row>
    <row r="87" spans="1:22">
      <c r="A87" s="242"/>
      <c r="B87" s="219"/>
      <c r="C87" s="239"/>
      <c r="D87" s="240"/>
      <c r="E87" s="240"/>
      <c r="F87" s="240"/>
      <c r="G87" s="240"/>
      <c r="H87" s="240"/>
      <c r="I87" s="240"/>
      <c r="J87" s="241"/>
      <c r="K87" s="241"/>
      <c r="L87" s="240"/>
      <c r="M87" s="240"/>
      <c r="N87" s="240"/>
      <c r="O87" s="241"/>
      <c r="P87" s="241"/>
      <c r="Q87" s="240"/>
      <c r="R87" s="241"/>
      <c r="S87" s="241"/>
      <c r="T87" s="241"/>
      <c r="U87" s="241"/>
      <c r="V87" s="247"/>
    </row>
    <row r="88" spans="1:22">
      <c r="A88" s="242"/>
      <c r="B88" s="243"/>
      <c r="C88" s="244"/>
      <c r="D88" s="245"/>
      <c r="E88" s="245"/>
      <c r="F88" s="245"/>
      <c r="G88" s="245"/>
      <c r="H88" s="245"/>
      <c r="I88" s="245"/>
      <c r="J88" s="246"/>
      <c r="K88" s="246"/>
      <c r="L88" s="245"/>
      <c r="M88" s="245"/>
      <c r="N88" s="245"/>
      <c r="O88" s="246"/>
      <c r="P88" s="246"/>
      <c r="Q88" s="245"/>
      <c r="R88" s="246"/>
      <c r="S88" s="246"/>
      <c r="T88" s="246"/>
      <c r="U88" s="246"/>
      <c r="V88" s="247"/>
    </row>
    <row r="89" spans="1:22">
      <c r="A89" s="242"/>
      <c r="B89" s="248"/>
      <c r="C89" s="249"/>
      <c r="D89" s="250"/>
      <c r="E89" s="250"/>
      <c r="F89" s="250"/>
      <c r="G89" s="250"/>
      <c r="H89" s="250"/>
      <c r="I89" s="250"/>
      <c r="J89" s="253"/>
      <c r="K89" s="253"/>
      <c r="L89" s="250"/>
      <c r="M89" s="250"/>
      <c r="N89" s="250"/>
      <c r="O89" s="253"/>
      <c r="P89" s="253"/>
      <c r="Q89" s="250"/>
      <c r="R89" s="253"/>
      <c r="S89" s="253"/>
      <c r="T89" s="253"/>
      <c r="U89" s="253"/>
      <c r="V89" s="247"/>
    </row>
    <row r="90" spans="1:22">
      <c r="A90" s="242"/>
      <c r="B90" s="219"/>
      <c r="C90" s="239"/>
      <c r="D90" s="240"/>
      <c r="E90" s="240"/>
      <c r="F90" s="240"/>
      <c r="G90" s="240"/>
      <c r="H90" s="240"/>
      <c r="I90" s="240"/>
      <c r="J90" s="241"/>
      <c r="K90" s="241"/>
      <c r="L90" s="240"/>
      <c r="M90" s="240"/>
      <c r="N90" s="240"/>
      <c r="O90" s="241"/>
      <c r="P90" s="241"/>
      <c r="Q90" s="240"/>
      <c r="R90" s="241"/>
      <c r="S90" s="241"/>
      <c r="T90" s="241"/>
      <c r="U90" s="241"/>
      <c r="V90" s="247"/>
    </row>
    <row r="91" spans="1:22">
      <c r="A91" s="242"/>
      <c r="B91" s="243"/>
      <c r="C91" s="244"/>
      <c r="D91" s="245"/>
      <c r="E91" s="245"/>
      <c r="F91" s="245"/>
      <c r="G91" s="245"/>
      <c r="H91" s="245"/>
      <c r="I91" s="245"/>
      <c r="J91" s="246"/>
      <c r="K91" s="246"/>
      <c r="L91" s="245"/>
      <c r="M91" s="245"/>
      <c r="N91" s="245"/>
      <c r="O91" s="246"/>
      <c r="P91" s="246"/>
      <c r="Q91" s="245"/>
      <c r="R91" s="246"/>
      <c r="S91" s="246"/>
      <c r="T91" s="246"/>
      <c r="U91" s="246"/>
      <c r="V91" s="247"/>
    </row>
    <row r="92" spans="1:22">
      <c r="A92" s="242"/>
      <c r="B92" s="248"/>
      <c r="C92" s="249"/>
      <c r="D92" s="250"/>
      <c r="E92" s="250"/>
      <c r="F92" s="250"/>
      <c r="G92" s="250"/>
      <c r="H92" s="250"/>
      <c r="I92" s="250"/>
      <c r="J92" s="253"/>
      <c r="K92" s="253"/>
      <c r="L92" s="250"/>
      <c r="M92" s="250"/>
      <c r="N92" s="250"/>
      <c r="O92" s="253"/>
      <c r="P92" s="253"/>
      <c r="Q92" s="250"/>
      <c r="R92" s="253"/>
      <c r="S92" s="253"/>
      <c r="T92" s="253"/>
      <c r="U92" s="253"/>
      <c r="V92" s="247"/>
    </row>
    <row r="93" spans="1:22">
      <c r="A93" s="242"/>
      <c r="B93" s="219"/>
      <c r="C93" s="239"/>
      <c r="D93" s="240"/>
      <c r="E93" s="240"/>
      <c r="F93" s="240"/>
      <c r="G93" s="240"/>
      <c r="H93" s="240"/>
      <c r="I93" s="240"/>
      <c r="J93" s="241"/>
      <c r="K93" s="241"/>
      <c r="L93" s="240"/>
      <c r="M93" s="240"/>
      <c r="N93" s="240"/>
      <c r="O93" s="241"/>
      <c r="P93" s="241"/>
      <c r="Q93" s="240"/>
      <c r="R93" s="241"/>
      <c r="S93" s="241"/>
      <c r="T93" s="241"/>
      <c r="U93" s="241"/>
      <c r="V93" s="247"/>
    </row>
    <row r="94" spans="1:22">
      <c r="A94" s="242"/>
      <c r="B94" s="243"/>
      <c r="C94" s="244"/>
      <c r="D94" s="245"/>
      <c r="E94" s="245"/>
      <c r="F94" s="245"/>
      <c r="G94" s="245"/>
      <c r="H94" s="245"/>
      <c r="I94" s="245"/>
      <c r="J94" s="246"/>
      <c r="K94" s="246"/>
      <c r="L94" s="245"/>
      <c r="M94" s="245"/>
      <c r="N94" s="245"/>
      <c r="O94" s="246"/>
      <c r="P94" s="246"/>
      <c r="Q94" s="245"/>
      <c r="R94" s="246"/>
      <c r="S94" s="246"/>
      <c r="T94" s="246"/>
      <c r="U94" s="246"/>
      <c r="V94" s="247"/>
    </row>
    <row r="95" spans="1:22" ht="15.75" thickBot="1">
      <c r="A95" s="242"/>
      <c r="B95" s="257"/>
      <c r="C95" s="258"/>
      <c r="D95" s="259"/>
      <c r="E95" s="259"/>
      <c r="F95" s="259"/>
      <c r="G95" s="259"/>
      <c r="H95" s="259"/>
      <c r="I95" s="259"/>
      <c r="J95" s="260"/>
      <c r="K95" s="260"/>
      <c r="L95" s="259"/>
      <c r="M95" s="259"/>
      <c r="N95" s="259"/>
      <c r="O95" s="260"/>
      <c r="P95" s="260"/>
      <c r="Q95" s="259"/>
      <c r="R95" s="260"/>
      <c r="S95" s="260"/>
      <c r="T95" s="260"/>
      <c r="U95" s="260"/>
      <c r="V95" s="247"/>
    </row>
    <row r="96" spans="1:22" ht="15.75" thickTop="1">
      <c r="A96" s="242"/>
      <c r="B96" s="243"/>
      <c r="C96" s="244"/>
      <c r="D96" s="245"/>
      <c r="E96" s="245"/>
      <c r="F96" s="245"/>
      <c r="G96" s="245"/>
      <c r="H96" s="245"/>
      <c r="I96" s="245"/>
      <c r="J96" s="246"/>
      <c r="K96" s="246"/>
      <c r="L96" s="245"/>
      <c r="M96" s="245"/>
      <c r="N96" s="245"/>
      <c r="O96" s="246"/>
      <c r="P96" s="246"/>
      <c r="Q96" s="245"/>
      <c r="R96" s="246"/>
      <c r="S96" s="246"/>
      <c r="T96" s="246"/>
      <c r="U96" s="246"/>
      <c r="V96" s="247"/>
    </row>
    <row r="97" spans="1:22">
      <c r="A97" s="242"/>
      <c r="B97" s="243"/>
      <c r="C97" s="244"/>
      <c r="D97" s="245"/>
      <c r="E97" s="245"/>
      <c r="F97" s="245"/>
      <c r="G97" s="245"/>
      <c r="H97" s="245"/>
      <c r="I97" s="245"/>
      <c r="J97" s="246"/>
      <c r="K97" s="246"/>
      <c r="L97" s="245"/>
      <c r="M97" s="245"/>
      <c r="N97" s="245"/>
      <c r="O97" s="246"/>
      <c r="P97" s="246"/>
      <c r="Q97" s="245"/>
      <c r="R97" s="246"/>
      <c r="S97" s="246"/>
      <c r="T97" s="246"/>
      <c r="U97" s="246"/>
      <c r="V97" s="247"/>
    </row>
    <row r="98" spans="1:22">
      <c r="A98" s="242"/>
      <c r="B98" s="248"/>
      <c r="C98" s="249"/>
      <c r="D98" s="250"/>
      <c r="E98" s="250"/>
      <c r="F98" s="250"/>
      <c r="G98" s="250"/>
      <c r="H98" s="250"/>
      <c r="I98" s="250"/>
      <c r="J98" s="253"/>
      <c r="K98" s="253"/>
      <c r="L98" s="250"/>
      <c r="M98" s="250"/>
      <c r="N98" s="250"/>
      <c r="O98" s="253"/>
      <c r="P98" s="253"/>
      <c r="Q98" s="250"/>
      <c r="R98" s="253"/>
      <c r="S98" s="253"/>
      <c r="T98" s="253"/>
      <c r="U98" s="253"/>
      <c r="V98" s="247"/>
    </row>
    <row r="99" spans="1:22">
      <c r="A99" s="242"/>
      <c r="B99" s="219"/>
      <c r="C99" s="239"/>
      <c r="D99" s="240"/>
      <c r="E99" s="240"/>
      <c r="F99" s="240"/>
      <c r="G99" s="240"/>
      <c r="H99" s="240"/>
      <c r="I99" s="240"/>
      <c r="J99" s="241"/>
      <c r="K99" s="241"/>
      <c r="L99" s="240"/>
      <c r="M99" s="240"/>
      <c r="N99" s="240"/>
      <c r="O99" s="241"/>
      <c r="P99" s="241"/>
      <c r="Q99" s="240"/>
      <c r="R99" s="241"/>
      <c r="S99" s="241"/>
      <c r="T99" s="241"/>
      <c r="U99" s="241"/>
      <c r="V99" s="247"/>
    </row>
    <row r="100" spans="1:22">
      <c r="A100" s="242"/>
      <c r="B100" s="243"/>
      <c r="C100" s="244"/>
      <c r="D100" s="245"/>
      <c r="E100" s="245"/>
      <c r="F100" s="245"/>
      <c r="G100" s="245"/>
      <c r="H100" s="245"/>
      <c r="I100" s="245"/>
      <c r="J100" s="246"/>
      <c r="K100" s="246"/>
      <c r="L100" s="245"/>
      <c r="M100" s="245"/>
      <c r="N100" s="245"/>
      <c r="O100" s="246"/>
      <c r="P100" s="246"/>
      <c r="Q100" s="245"/>
      <c r="R100" s="246"/>
      <c r="S100" s="246"/>
      <c r="T100" s="246"/>
      <c r="U100" s="246"/>
      <c r="V100" s="247"/>
    </row>
    <row r="101" spans="1:22">
      <c r="A101" s="242"/>
      <c r="B101" s="248"/>
      <c r="C101" s="249"/>
      <c r="D101" s="250"/>
      <c r="E101" s="250"/>
      <c r="F101" s="250"/>
      <c r="G101" s="250"/>
      <c r="H101" s="250"/>
      <c r="I101" s="250"/>
      <c r="J101" s="253"/>
      <c r="K101" s="253"/>
      <c r="L101" s="250"/>
      <c r="M101" s="250"/>
      <c r="N101" s="250"/>
      <c r="O101" s="253"/>
      <c r="P101" s="253"/>
      <c r="Q101" s="250"/>
      <c r="R101" s="253"/>
      <c r="S101" s="253"/>
      <c r="T101" s="253"/>
      <c r="U101" s="253"/>
      <c r="V101" s="247"/>
    </row>
    <row r="102" spans="1:22">
      <c r="A102" s="242"/>
      <c r="B102" s="219"/>
      <c r="C102" s="239"/>
      <c r="D102" s="240"/>
      <c r="E102" s="240"/>
      <c r="F102" s="240"/>
      <c r="G102" s="240"/>
      <c r="H102" s="240"/>
      <c r="I102" s="240"/>
      <c r="J102" s="241"/>
      <c r="K102" s="241"/>
      <c r="L102" s="240"/>
      <c r="M102" s="240"/>
      <c r="N102" s="240"/>
      <c r="O102" s="241"/>
      <c r="P102" s="241"/>
      <c r="Q102" s="240"/>
      <c r="R102" s="241"/>
      <c r="S102" s="241"/>
      <c r="T102" s="241"/>
      <c r="U102" s="241"/>
      <c r="V102" s="247"/>
    </row>
    <row r="103" spans="1:22">
      <c r="A103" s="242"/>
      <c r="B103" s="243"/>
      <c r="C103" s="244"/>
      <c r="D103" s="245"/>
      <c r="E103" s="245"/>
      <c r="F103" s="245"/>
      <c r="G103" s="245"/>
      <c r="H103" s="245"/>
      <c r="I103" s="245"/>
      <c r="J103" s="246"/>
      <c r="K103" s="246"/>
      <c r="L103" s="245"/>
      <c r="M103" s="245"/>
      <c r="N103" s="245"/>
      <c r="O103" s="246"/>
      <c r="P103" s="246"/>
      <c r="Q103" s="245"/>
      <c r="R103" s="246"/>
      <c r="S103" s="246"/>
      <c r="T103" s="246"/>
      <c r="U103" s="246"/>
      <c r="V103" s="247"/>
    </row>
    <row r="104" spans="1:22">
      <c r="A104" s="242"/>
      <c r="B104" s="248"/>
      <c r="C104" s="249"/>
      <c r="D104" s="250"/>
      <c r="E104" s="250"/>
      <c r="F104" s="250"/>
      <c r="G104" s="250"/>
      <c r="H104" s="250"/>
      <c r="I104" s="250"/>
      <c r="J104" s="253"/>
      <c r="K104" s="253"/>
      <c r="L104" s="250"/>
      <c r="M104" s="250"/>
      <c r="N104" s="250"/>
      <c r="O104" s="253"/>
      <c r="P104" s="253"/>
      <c r="Q104" s="250"/>
      <c r="R104" s="253"/>
      <c r="S104" s="253"/>
      <c r="T104" s="253"/>
      <c r="U104" s="253"/>
      <c r="V104" s="247"/>
    </row>
    <row r="105" spans="1:22">
      <c r="A105" s="242"/>
      <c r="B105" s="219"/>
      <c r="C105" s="239"/>
      <c r="D105" s="240"/>
      <c r="E105" s="240"/>
      <c r="F105" s="240"/>
      <c r="G105" s="240"/>
      <c r="H105" s="240"/>
      <c r="I105" s="240"/>
      <c r="J105" s="241"/>
      <c r="K105" s="241"/>
      <c r="L105" s="240"/>
      <c r="M105" s="240"/>
      <c r="N105" s="240"/>
      <c r="O105" s="241"/>
      <c r="P105" s="241"/>
      <c r="Q105" s="240"/>
      <c r="R105" s="241"/>
      <c r="S105" s="241"/>
      <c r="T105" s="241"/>
      <c r="U105" s="241"/>
      <c r="V105" s="247"/>
    </row>
    <row r="106" spans="1:22">
      <c r="A106" s="242"/>
      <c r="B106" s="243"/>
      <c r="C106" s="244"/>
      <c r="D106" s="245"/>
      <c r="E106" s="245"/>
      <c r="F106" s="245"/>
      <c r="G106" s="245"/>
      <c r="H106" s="245"/>
      <c r="I106" s="245"/>
      <c r="J106" s="246"/>
      <c r="K106" s="246"/>
      <c r="L106" s="245"/>
      <c r="M106" s="245"/>
      <c r="N106" s="245"/>
      <c r="O106" s="246"/>
      <c r="P106" s="246"/>
      <c r="Q106" s="245"/>
      <c r="R106" s="246"/>
      <c r="S106" s="246"/>
      <c r="T106" s="246"/>
      <c r="U106" s="246"/>
      <c r="V106" s="247"/>
    </row>
    <row r="107" spans="1:22">
      <c r="A107" s="242"/>
      <c r="B107" s="248"/>
      <c r="C107" s="249"/>
      <c r="D107" s="250"/>
      <c r="E107" s="250"/>
      <c r="F107" s="250"/>
      <c r="G107" s="250"/>
      <c r="H107" s="250"/>
      <c r="I107" s="250"/>
      <c r="J107" s="253"/>
      <c r="K107" s="253"/>
      <c r="L107" s="250"/>
      <c r="M107" s="250"/>
      <c r="N107" s="250"/>
      <c r="O107" s="253"/>
      <c r="P107" s="253"/>
      <c r="Q107" s="250"/>
      <c r="R107" s="253"/>
      <c r="S107" s="253"/>
      <c r="T107" s="253"/>
      <c r="U107" s="253"/>
      <c r="V107" s="247"/>
    </row>
    <row r="108" spans="1:22">
      <c r="A108" s="242"/>
      <c r="B108" s="219"/>
      <c r="C108" s="239"/>
      <c r="D108" s="240"/>
      <c r="E108" s="240"/>
      <c r="F108" s="240"/>
      <c r="G108" s="240"/>
      <c r="H108" s="240"/>
      <c r="I108" s="240"/>
      <c r="J108" s="241"/>
      <c r="K108" s="241"/>
      <c r="L108" s="240"/>
      <c r="M108" s="240"/>
      <c r="N108" s="240"/>
      <c r="O108" s="241"/>
      <c r="P108" s="241"/>
      <c r="Q108" s="240"/>
      <c r="R108" s="241"/>
      <c r="S108" s="241"/>
      <c r="T108" s="241"/>
      <c r="U108" s="241"/>
      <c r="V108" s="247"/>
    </row>
    <row r="109" spans="1:22">
      <c r="A109" s="242"/>
      <c r="B109" s="243"/>
      <c r="C109" s="244"/>
      <c r="D109" s="245"/>
      <c r="E109" s="245"/>
      <c r="F109" s="245"/>
      <c r="G109" s="245"/>
      <c r="H109" s="245"/>
      <c r="I109" s="245"/>
      <c r="J109" s="246"/>
      <c r="K109" s="246"/>
      <c r="L109" s="245"/>
      <c r="M109" s="245"/>
      <c r="N109" s="245"/>
      <c r="O109" s="246"/>
      <c r="P109" s="246"/>
      <c r="Q109" s="245"/>
      <c r="R109" s="246"/>
      <c r="S109" s="246"/>
      <c r="T109" s="246"/>
      <c r="U109" s="246"/>
      <c r="V109" s="247"/>
    </row>
    <row r="110" spans="1:22">
      <c r="A110" s="242"/>
      <c r="B110" s="248"/>
      <c r="C110" s="249"/>
      <c r="D110" s="250"/>
      <c r="E110" s="250"/>
      <c r="F110" s="250"/>
      <c r="G110" s="250"/>
      <c r="H110" s="250"/>
      <c r="I110" s="250"/>
      <c r="J110" s="253"/>
      <c r="K110" s="253"/>
      <c r="L110" s="250"/>
      <c r="M110" s="250"/>
      <c r="N110" s="250"/>
      <c r="O110" s="253"/>
      <c r="P110" s="253"/>
      <c r="Q110" s="250"/>
      <c r="R110" s="253"/>
      <c r="S110" s="253"/>
      <c r="T110" s="253"/>
      <c r="U110" s="253"/>
      <c r="V110" s="247"/>
    </row>
    <row r="111" spans="1:22">
      <c r="A111" s="242"/>
      <c r="B111" s="219"/>
      <c r="C111" s="239"/>
      <c r="D111" s="240"/>
      <c r="E111" s="240"/>
      <c r="F111" s="240"/>
      <c r="G111" s="240"/>
      <c r="H111" s="240"/>
      <c r="I111" s="240"/>
      <c r="J111" s="241"/>
      <c r="K111" s="241"/>
      <c r="L111" s="240"/>
      <c r="M111" s="240"/>
      <c r="N111" s="240"/>
      <c r="O111" s="241"/>
      <c r="P111" s="241"/>
      <c r="Q111" s="240"/>
      <c r="R111" s="241"/>
      <c r="S111" s="241"/>
      <c r="T111" s="241"/>
      <c r="U111" s="241"/>
      <c r="V111" s="247"/>
    </row>
    <row r="112" spans="1:22">
      <c r="A112" s="242"/>
      <c r="B112" s="243"/>
      <c r="C112" s="244"/>
      <c r="D112" s="245"/>
      <c r="E112" s="245"/>
      <c r="F112" s="245"/>
      <c r="G112" s="245"/>
      <c r="H112" s="245"/>
      <c r="I112" s="245"/>
      <c r="J112" s="246"/>
      <c r="K112" s="246"/>
      <c r="L112" s="245"/>
      <c r="M112" s="245"/>
      <c r="N112" s="245"/>
      <c r="O112" s="246"/>
      <c r="P112" s="246"/>
      <c r="Q112" s="245"/>
      <c r="R112" s="246"/>
      <c r="S112" s="246"/>
      <c r="T112" s="246"/>
      <c r="U112" s="246"/>
      <c r="V112" s="247"/>
    </row>
    <row r="113" spans="1:22" ht="15.75" thickBot="1">
      <c r="A113" s="261"/>
      <c r="B113" s="262"/>
      <c r="C113" s="263"/>
      <c r="D113" s="264"/>
      <c r="E113" s="264"/>
      <c r="F113" s="264"/>
      <c r="G113" s="264"/>
      <c r="H113" s="264"/>
      <c r="I113" s="264"/>
      <c r="J113" s="265"/>
      <c r="K113" s="265"/>
      <c r="L113" s="264"/>
      <c r="M113" s="264"/>
      <c r="N113" s="264"/>
      <c r="O113" s="265"/>
      <c r="P113" s="265"/>
      <c r="Q113" s="264"/>
      <c r="R113" s="265"/>
      <c r="S113" s="265"/>
      <c r="T113" s="265"/>
      <c r="U113" s="265"/>
      <c r="V113" s="247"/>
    </row>
    <row r="114" spans="1:22">
      <c r="A114" s="238"/>
      <c r="B114" s="219"/>
      <c r="C114" s="239"/>
      <c r="D114" s="240"/>
      <c r="E114" s="240"/>
      <c r="F114" s="240"/>
      <c r="G114" s="240"/>
      <c r="H114" s="240"/>
      <c r="I114" s="240"/>
      <c r="J114" s="241"/>
      <c r="K114" s="241"/>
      <c r="L114" s="240"/>
      <c r="M114" s="240"/>
      <c r="N114" s="240"/>
      <c r="O114" s="241"/>
      <c r="P114" s="241"/>
      <c r="Q114" s="240"/>
      <c r="R114" s="241"/>
      <c r="S114" s="241"/>
      <c r="T114" s="241"/>
      <c r="U114" s="241"/>
      <c r="V114" s="247"/>
    </row>
    <row r="115" spans="1:22">
      <c r="A115" s="242"/>
      <c r="B115" s="243"/>
      <c r="C115" s="244"/>
      <c r="D115" s="245"/>
      <c r="E115" s="245"/>
      <c r="F115" s="245"/>
      <c r="G115" s="245"/>
      <c r="H115" s="245"/>
      <c r="I115" s="245"/>
      <c r="J115" s="246"/>
      <c r="K115" s="246"/>
      <c r="L115" s="245"/>
      <c r="M115" s="245"/>
      <c r="N115" s="245"/>
      <c r="O115" s="246"/>
      <c r="P115" s="246"/>
      <c r="Q115" s="245"/>
      <c r="R115" s="246"/>
      <c r="S115" s="246"/>
      <c r="T115" s="246"/>
      <c r="U115" s="246"/>
      <c r="V115" s="247"/>
    </row>
    <row r="116" spans="1:22">
      <c r="A116" s="242"/>
      <c r="B116" s="248"/>
      <c r="C116" s="249"/>
      <c r="D116" s="250"/>
      <c r="E116" s="250"/>
      <c r="F116" s="250"/>
      <c r="G116" s="250"/>
      <c r="H116" s="250"/>
      <c r="I116" s="250"/>
      <c r="J116" s="253"/>
      <c r="K116" s="253"/>
      <c r="L116" s="250"/>
      <c r="M116" s="250"/>
      <c r="N116" s="250"/>
      <c r="O116" s="253"/>
      <c r="P116" s="253"/>
      <c r="Q116" s="250"/>
      <c r="R116" s="253"/>
      <c r="S116" s="253"/>
      <c r="T116" s="253"/>
      <c r="U116" s="253"/>
      <c r="V116" s="247"/>
    </row>
    <row r="117" spans="1:22">
      <c r="A117" s="242"/>
      <c r="B117" s="219"/>
      <c r="C117" s="239"/>
      <c r="D117" s="240"/>
      <c r="E117" s="240"/>
      <c r="F117" s="240"/>
      <c r="G117" s="240"/>
      <c r="H117" s="240"/>
      <c r="I117" s="240"/>
      <c r="J117" s="241"/>
      <c r="K117" s="241"/>
      <c r="L117" s="240"/>
      <c r="M117" s="240"/>
      <c r="N117" s="240"/>
      <c r="O117" s="241"/>
      <c r="P117" s="241"/>
      <c r="Q117" s="240"/>
      <c r="R117" s="241"/>
      <c r="S117" s="241"/>
      <c r="T117" s="241"/>
      <c r="U117" s="241"/>
      <c r="V117" s="247"/>
    </row>
    <row r="118" spans="1:22">
      <c r="A118" s="242"/>
      <c r="B118" s="243"/>
      <c r="C118" s="244"/>
      <c r="D118" s="245"/>
      <c r="E118" s="245"/>
      <c r="F118" s="254"/>
      <c r="G118" s="245"/>
      <c r="H118" s="245"/>
      <c r="I118" s="245"/>
      <c r="J118" s="246"/>
      <c r="K118" s="246"/>
      <c r="L118" s="245"/>
      <c r="M118" s="245"/>
      <c r="N118" s="245"/>
      <c r="O118" s="246"/>
      <c r="P118" s="246"/>
      <c r="Q118" s="245"/>
      <c r="R118" s="246"/>
      <c r="S118" s="246"/>
      <c r="T118" s="246"/>
      <c r="U118" s="246"/>
      <c r="V118" s="247"/>
    </row>
    <row r="119" spans="1:22">
      <c r="A119" s="242"/>
      <c r="B119" s="248"/>
      <c r="C119" s="249"/>
      <c r="D119" s="250"/>
      <c r="E119" s="250"/>
      <c r="F119" s="252"/>
      <c r="G119" s="250"/>
      <c r="H119" s="250"/>
      <c r="I119" s="250"/>
      <c r="J119" s="253"/>
      <c r="K119" s="253"/>
      <c r="L119" s="250"/>
      <c r="M119" s="250"/>
      <c r="N119" s="250"/>
      <c r="O119" s="253"/>
      <c r="P119" s="253"/>
      <c r="Q119" s="250"/>
      <c r="R119" s="253"/>
      <c r="S119" s="253"/>
      <c r="T119" s="253"/>
      <c r="U119" s="253"/>
      <c r="V119" s="247"/>
    </row>
    <row r="120" spans="1:22">
      <c r="A120" s="242"/>
      <c r="B120" s="219"/>
      <c r="C120" s="239"/>
      <c r="D120" s="240"/>
      <c r="E120" s="240"/>
      <c r="F120" s="240"/>
      <c r="G120" s="240"/>
      <c r="H120" s="240"/>
      <c r="I120" s="240"/>
      <c r="J120" s="241"/>
      <c r="K120" s="241"/>
      <c r="L120" s="240"/>
      <c r="M120" s="240"/>
      <c r="N120" s="240"/>
      <c r="O120" s="241"/>
      <c r="P120" s="241"/>
      <c r="Q120" s="240"/>
      <c r="R120" s="241"/>
      <c r="S120" s="241"/>
      <c r="T120" s="241"/>
      <c r="U120" s="241"/>
      <c r="V120" s="247"/>
    </row>
    <row r="121" spans="1:22">
      <c r="A121" s="242"/>
      <c r="B121" s="243"/>
      <c r="C121" s="244"/>
      <c r="D121" s="245"/>
      <c r="E121" s="245"/>
      <c r="F121" s="245"/>
      <c r="G121" s="245"/>
      <c r="H121" s="245"/>
      <c r="I121" s="245"/>
      <c r="J121" s="246"/>
      <c r="K121" s="246"/>
      <c r="L121" s="245"/>
      <c r="M121" s="245"/>
      <c r="N121" s="245"/>
      <c r="O121" s="246"/>
      <c r="P121" s="246"/>
      <c r="Q121" s="245"/>
      <c r="R121" s="246"/>
      <c r="S121" s="246"/>
      <c r="T121" s="246"/>
      <c r="U121" s="246"/>
      <c r="V121" s="247"/>
    </row>
    <row r="122" spans="1:22">
      <c r="A122" s="242"/>
      <c r="B122" s="248"/>
      <c r="C122" s="249"/>
      <c r="D122" s="250"/>
      <c r="E122" s="250"/>
      <c r="F122" s="252"/>
      <c r="G122" s="250"/>
      <c r="H122" s="250"/>
      <c r="I122" s="250"/>
      <c r="J122" s="253"/>
      <c r="K122" s="253"/>
      <c r="L122" s="250"/>
      <c r="M122" s="250"/>
      <c r="N122" s="250"/>
      <c r="O122" s="253"/>
      <c r="P122" s="253"/>
      <c r="Q122" s="250"/>
      <c r="R122" s="253"/>
      <c r="S122" s="253"/>
      <c r="T122" s="253"/>
      <c r="U122" s="253"/>
      <c r="V122" s="247"/>
    </row>
    <row r="123" spans="1:22">
      <c r="A123" s="242"/>
      <c r="B123" s="219"/>
      <c r="C123" s="239"/>
      <c r="D123" s="240"/>
      <c r="E123" s="240"/>
      <c r="F123" s="240"/>
      <c r="G123" s="240"/>
      <c r="H123" s="240"/>
      <c r="I123" s="240"/>
      <c r="J123" s="241"/>
      <c r="K123" s="241"/>
      <c r="L123" s="240"/>
      <c r="M123" s="240"/>
      <c r="N123" s="240"/>
      <c r="O123" s="241"/>
      <c r="P123" s="241"/>
      <c r="Q123" s="240"/>
      <c r="R123" s="241"/>
      <c r="S123" s="241"/>
      <c r="T123" s="241"/>
      <c r="U123" s="241"/>
      <c r="V123" s="247"/>
    </row>
    <row r="124" spans="1:22">
      <c r="A124" s="242"/>
      <c r="B124" s="243"/>
      <c r="C124" s="244"/>
      <c r="D124" s="245"/>
      <c r="E124" s="254"/>
      <c r="F124" s="245"/>
      <c r="G124" s="245"/>
      <c r="H124" s="245"/>
      <c r="I124" s="245"/>
      <c r="J124" s="246"/>
      <c r="K124" s="246"/>
      <c r="L124" s="245"/>
      <c r="M124" s="245"/>
      <c r="N124" s="245"/>
      <c r="O124" s="246"/>
      <c r="P124" s="246"/>
      <c r="Q124" s="245"/>
      <c r="R124" s="246"/>
      <c r="S124" s="246"/>
      <c r="T124" s="246"/>
      <c r="U124" s="246"/>
      <c r="V124" s="247"/>
    </row>
    <row r="125" spans="1:22">
      <c r="A125" s="242"/>
      <c r="B125" s="248"/>
      <c r="C125" s="249"/>
      <c r="D125" s="250"/>
      <c r="E125" s="252"/>
      <c r="F125" s="250"/>
      <c r="G125" s="250"/>
      <c r="H125" s="250"/>
      <c r="I125" s="250"/>
      <c r="J125" s="253"/>
      <c r="K125" s="253"/>
      <c r="L125" s="250"/>
      <c r="M125" s="250"/>
      <c r="N125" s="250"/>
      <c r="O125" s="253"/>
      <c r="P125" s="253"/>
      <c r="Q125" s="250"/>
      <c r="R125" s="253"/>
      <c r="S125" s="253"/>
      <c r="T125" s="253"/>
      <c r="U125" s="253"/>
      <c r="V125" s="247"/>
    </row>
    <row r="126" spans="1:22">
      <c r="A126" s="242"/>
      <c r="B126" s="219"/>
      <c r="C126" s="239"/>
      <c r="D126" s="240"/>
      <c r="E126" s="240"/>
      <c r="F126" s="240"/>
      <c r="G126" s="240"/>
      <c r="H126" s="240"/>
      <c r="I126" s="240"/>
      <c r="J126" s="241"/>
      <c r="K126" s="241"/>
      <c r="L126" s="240"/>
      <c r="M126" s="240"/>
      <c r="N126" s="240"/>
      <c r="O126" s="241"/>
      <c r="P126" s="241"/>
      <c r="Q126" s="240"/>
      <c r="R126" s="241"/>
      <c r="S126" s="241"/>
      <c r="T126" s="241"/>
      <c r="U126" s="241"/>
      <c r="V126" s="247"/>
    </row>
    <row r="127" spans="1:22">
      <c r="A127" s="242"/>
      <c r="B127" s="243"/>
      <c r="C127" s="244"/>
      <c r="D127" s="245"/>
      <c r="E127" s="245"/>
      <c r="F127" s="245"/>
      <c r="G127" s="245"/>
      <c r="H127" s="245"/>
      <c r="I127" s="245"/>
      <c r="J127" s="246"/>
      <c r="K127" s="246"/>
      <c r="L127" s="245"/>
      <c r="M127" s="245"/>
      <c r="N127" s="245"/>
      <c r="O127" s="246"/>
      <c r="P127" s="246"/>
      <c r="Q127" s="245"/>
      <c r="R127" s="246"/>
      <c r="S127" s="246"/>
      <c r="T127" s="246"/>
      <c r="U127" s="246"/>
      <c r="V127" s="247"/>
    </row>
    <row r="128" spans="1:22">
      <c r="A128" s="242"/>
      <c r="B128" s="248"/>
      <c r="C128" s="249"/>
      <c r="D128" s="250"/>
      <c r="E128" s="250"/>
      <c r="F128" s="250"/>
      <c r="G128" s="250"/>
      <c r="H128" s="250"/>
      <c r="I128" s="250"/>
      <c r="J128" s="253"/>
      <c r="K128" s="253"/>
      <c r="L128" s="250"/>
      <c r="M128" s="250"/>
      <c r="N128" s="250"/>
      <c r="O128" s="253"/>
      <c r="P128" s="253"/>
      <c r="Q128" s="250"/>
      <c r="R128" s="253"/>
      <c r="S128" s="253"/>
      <c r="T128" s="253"/>
      <c r="U128" s="253"/>
      <c r="V128" s="247"/>
    </row>
    <row r="129" spans="1:22">
      <c r="A129" s="242"/>
      <c r="B129" s="219"/>
      <c r="C129" s="239"/>
      <c r="D129" s="240"/>
      <c r="E129" s="240"/>
      <c r="F129" s="240"/>
      <c r="G129" s="240"/>
      <c r="H129" s="240"/>
      <c r="I129" s="240"/>
      <c r="J129" s="241"/>
      <c r="K129" s="241"/>
      <c r="L129" s="240"/>
      <c r="M129" s="240"/>
      <c r="N129" s="240"/>
      <c r="O129" s="241"/>
      <c r="P129" s="241"/>
      <c r="Q129" s="240"/>
      <c r="R129" s="241"/>
      <c r="S129" s="241"/>
      <c r="T129" s="241"/>
      <c r="U129" s="241"/>
      <c r="V129" s="247"/>
    </row>
    <row r="130" spans="1:22">
      <c r="A130" s="242"/>
      <c r="B130" s="243"/>
      <c r="C130" s="244"/>
      <c r="D130" s="245"/>
      <c r="E130" s="245"/>
      <c r="F130" s="245"/>
      <c r="G130" s="245"/>
      <c r="H130" s="245"/>
      <c r="I130" s="245"/>
      <c r="J130" s="246"/>
      <c r="K130" s="246"/>
      <c r="L130" s="245"/>
      <c r="M130" s="245"/>
      <c r="N130" s="245"/>
      <c r="O130" s="246"/>
      <c r="P130" s="246"/>
      <c r="Q130" s="245"/>
      <c r="R130" s="246"/>
      <c r="S130" s="246"/>
      <c r="T130" s="246"/>
      <c r="U130" s="246"/>
      <c r="V130" s="247"/>
    </row>
    <row r="131" spans="1:22" ht="15.75" thickBot="1">
      <c r="A131" s="242"/>
      <c r="B131" s="257"/>
      <c r="C131" s="258"/>
      <c r="D131" s="259"/>
      <c r="E131" s="259"/>
      <c r="F131" s="259"/>
      <c r="G131" s="259"/>
      <c r="H131" s="259"/>
      <c r="I131" s="259"/>
      <c r="J131" s="260"/>
      <c r="K131" s="260"/>
      <c r="L131" s="259"/>
      <c r="M131" s="259"/>
      <c r="N131" s="259"/>
      <c r="O131" s="260"/>
      <c r="P131" s="260"/>
      <c r="Q131" s="259"/>
      <c r="R131" s="260"/>
      <c r="S131" s="260"/>
      <c r="T131" s="260"/>
      <c r="U131" s="260"/>
      <c r="V131" s="247"/>
    </row>
    <row r="132" spans="1:22" ht="15.75" thickTop="1">
      <c r="A132" s="242"/>
      <c r="B132" s="243"/>
      <c r="C132" s="244"/>
      <c r="D132" s="245"/>
      <c r="E132" s="245"/>
      <c r="F132" s="245"/>
      <c r="G132" s="245"/>
      <c r="H132" s="245"/>
      <c r="I132" s="245"/>
      <c r="J132" s="246"/>
      <c r="K132" s="246"/>
      <c r="L132" s="245"/>
      <c r="M132" s="245"/>
      <c r="N132" s="245"/>
      <c r="O132" s="246"/>
      <c r="P132" s="246"/>
      <c r="Q132" s="245"/>
      <c r="R132" s="246"/>
      <c r="S132" s="246"/>
      <c r="T132" s="246"/>
      <c r="U132" s="246"/>
      <c r="V132" s="247"/>
    </row>
    <row r="133" spans="1:22">
      <c r="A133" s="242"/>
      <c r="B133" s="243"/>
      <c r="C133" s="244"/>
      <c r="D133" s="245"/>
      <c r="E133" s="245"/>
      <c r="F133" s="245"/>
      <c r="G133" s="245"/>
      <c r="H133" s="245"/>
      <c r="I133" s="245"/>
      <c r="J133" s="246"/>
      <c r="K133" s="246"/>
      <c r="L133" s="245"/>
      <c r="M133" s="245"/>
      <c r="N133" s="245"/>
      <c r="O133" s="246"/>
      <c r="P133" s="246"/>
      <c r="Q133" s="245"/>
      <c r="R133" s="246"/>
      <c r="S133" s="246"/>
      <c r="T133" s="246"/>
      <c r="U133" s="246"/>
      <c r="V133" s="247"/>
    </row>
    <row r="134" spans="1:22">
      <c r="A134" s="242"/>
      <c r="B134" s="248"/>
      <c r="C134" s="249"/>
      <c r="D134" s="250"/>
      <c r="E134" s="250"/>
      <c r="F134" s="252"/>
      <c r="G134" s="250"/>
      <c r="H134" s="250"/>
      <c r="I134" s="250"/>
      <c r="J134" s="253"/>
      <c r="K134" s="253"/>
      <c r="L134" s="250"/>
      <c r="M134" s="250"/>
      <c r="N134" s="250"/>
      <c r="O134" s="253"/>
      <c r="P134" s="253"/>
      <c r="Q134" s="250"/>
      <c r="R134" s="253"/>
      <c r="S134" s="253"/>
      <c r="T134" s="253"/>
      <c r="U134" s="253"/>
      <c r="V134" s="247"/>
    </row>
    <row r="135" spans="1:22">
      <c r="A135" s="242"/>
      <c r="B135" s="219"/>
      <c r="C135" s="239"/>
      <c r="D135" s="240"/>
      <c r="E135" s="240"/>
      <c r="F135" s="240"/>
      <c r="G135" s="240"/>
      <c r="H135" s="240"/>
      <c r="I135" s="240"/>
      <c r="J135" s="241"/>
      <c r="K135" s="241"/>
      <c r="L135" s="240"/>
      <c r="M135" s="240"/>
      <c r="N135" s="240"/>
      <c r="O135" s="241"/>
      <c r="P135" s="241"/>
      <c r="Q135" s="240"/>
      <c r="R135" s="241"/>
      <c r="S135" s="241"/>
      <c r="T135" s="241"/>
      <c r="U135" s="241"/>
      <c r="V135" s="247"/>
    </row>
    <row r="136" spans="1:22">
      <c r="A136" s="242"/>
      <c r="B136" s="243"/>
      <c r="C136" s="244"/>
      <c r="D136" s="245"/>
      <c r="E136" s="245"/>
      <c r="F136" s="245"/>
      <c r="G136" s="245"/>
      <c r="H136" s="245"/>
      <c r="I136" s="245"/>
      <c r="J136" s="246"/>
      <c r="K136" s="246"/>
      <c r="L136" s="245"/>
      <c r="M136" s="245"/>
      <c r="N136" s="245"/>
      <c r="O136" s="246"/>
      <c r="P136" s="246"/>
      <c r="Q136" s="245"/>
      <c r="R136" s="246"/>
      <c r="S136" s="246"/>
      <c r="T136" s="246"/>
      <c r="U136" s="246"/>
      <c r="V136" s="247"/>
    </row>
    <row r="137" spans="1:22">
      <c r="A137" s="242"/>
      <c r="B137" s="248"/>
      <c r="C137" s="249"/>
      <c r="D137" s="250"/>
      <c r="E137" s="250"/>
      <c r="F137" s="250"/>
      <c r="G137" s="250"/>
      <c r="H137" s="250"/>
      <c r="I137" s="250"/>
      <c r="J137" s="253"/>
      <c r="K137" s="253"/>
      <c r="L137" s="250"/>
      <c r="M137" s="250"/>
      <c r="N137" s="250"/>
      <c r="O137" s="253"/>
      <c r="P137" s="253"/>
      <c r="Q137" s="250"/>
      <c r="R137" s="253"/>
      <c r="S137" s="253"/>
      <c r="T137" s="253"/>
      <c r="U137" s="253"/>
      <c r="V137" s="247"/>
    </row>
    <row r="138" spans="1:22">
      <c r="A138" s="242"/>
      <c r="B138" s="219"/>
      <c r="C138" s="239"/>
      <c r="D138" s="240"/>
      <c r="E138" s="240"/>
      <c r="F138" s="240"/>
      <c r="G138" s="240"/>
      <c r="H138" s="240"/>
      <c r="I138" s="240"/>
      <c r="J138" s="241"/>
      <c r="K138" s="241"/>
      <c r="L138" s="240"/>
      <c r="M138" s="240"/>
      <c r="N138" s="240"/>
      <c r="O138" s="241"/>
      <c r="P138" s="241"/>
      <c r="Q138" s="240"/>
      <c r="R138" s="241"/>
      <c r="S138" s="241"/>
      <c r="T138" s="241"/>
      <c r="U138" s="241"/>
      <c r="V138" s="247"/>
    </row>
    <row r="139" spans="1:22">
      <c r="A139" s="242"/>
      <c r="B139" s="243"/>
      <c r="C139" s="244"/>
      <c r="D139" s="245"/>
      <c r="E139" s="245"/>
      <c r="F139" s="245"/>
      <c r="G139" s="245"/>
      <c r="H139" s="245"/>
      <c r="I139" s="245"/>
      <c r="J139" s="246"/>
      <c r="K139" s="246"/>
      <c r="L139" s="245"/>
      <c r="M139" s="245"/>
      <c r="N139" s="245"/>
      <c r="O139" s="246"/>
      <c r="P139" s="246"/>
      <c r="Q139" s="245"/>
      <c r="R139" s="246"/>
      <c r="S139" s="246"/>
      <c r="T139" s="246"/>
      <c r="U139" s="246"/>
      <c r="V139" s="247"/>
    </row>
    <row r="140" spans="1:22">
      <c r="A140" s="242"/>
      <c r="B140" s="248"/>
      <c r="C140" s="249"/>
      <c r="D140" s="250"/>
      <c r="E140" s="252"/>
      <c r="F140" s="252"/>
      <c r="G140" s="250"/>
      <c r="H140" s="250"/>
      <c r="I140" s="250"/>
      <c r="J140" s="253"/>
      <c r="K140" s="253"/>
      <c r="L140" s="250"/>
      <c r="M140" s="250"/>
      <c r="N140" s="250"/>
      <c r="O140" s="253"/>
      <c r="P140" s="253"/>
      <c r="Q140" s="250"/>
      <c r="R140" s="253"/>
      <c r="S140" s="253"/>
      <c r="T140" s="253"/>
      <c r="U140" s="253"/>
      <c r="V140" s="247"/>
    </row>
    <row r="141" spans="1:22">
      <c r="A141" s="242"/>
      <c r="B141" s="219"/>
      <c r="C141" s="239"/>
      <c r="D141" s="240"/>
      <c r="E141" s="240"/>
      <c r="F141" s="240"/>
      <c r="G141" s="240"/>
      <c r="H141" s="240"/>
      <c r="I141" s="240"/>
      <c r="J141" s="241"/>
      <c r="K141" s="241"/>
      <c r="L141" s="240"/>
      <c r="M141" s="240"/>
      <c r="N141" s="240"/>
      <c r="O141" s="241"/>
      <c r="P141" s="241"/>
      <c r="Q141" s="240"/>
      <c r="R141" s="241"/>
      <c r="S141" s="241"/>
      <c r="T141" s="241"/>
      <c r="U141" s="241"/>
      <c r="V141" s="247"/>
    </row>
    <row r="142" spans="1:22">
      <c r="A142" s="242"/>
      <c r="B142" s="243"/>
      <c r="C142" s="244"/>
      <c r="D142" s="245"/>
      <c r="E142" s="254"/>
      <c r="F142" s="245"/>
      <c r="G142" s="245"/>
      <c r="H142" s="245"/>
      <c r="I142" s="245"/>
      <c r="J142" s="246"/>
      <c r="K142" s="246"/>
      <c r="L142" s="245"/>
      <c r="M142" s="245"/>
      <c r="N142" s="245"/>
      <c r="O142" s="246"/>
      <c r="P142" s="246"/>
      <c r="Q142" s="245"/>
      <c r="R142" s="246"/>
      <c r="S142" s="246"/>
      <c r="T142" s="246"/>
      <c r="U142" s="246"/>
      <c r="V142" s="247"/>
    </row>
    <row r="143" spans="1:22">
      <c r="A143" s="242"/>
      <c r="B143" s="248"/>
      <c r="C143" s="249"/>
      <c r="D143" s="250"/>
      <c r="E143" s="252"/>
      <c r="F143" s="250"/>
      <c r="G143" s="250"/>
      <c r="H143" s="250"/>
      <c r="I143" s="250"/>
      <c r="J143" s="253"/>
      <c r="K143" s="253"/>
      <c r="L143" s="250"/>
      <c r="M143" s="250"/>
      <c r="N143" s="250"/>
      <c r="O143" s="253"/>
      <c r="P143" s="253"/>
      <c r="Q143" s="250"/>
      <c r="R143" s="253"/>
      <c r="S143" s="253"/>
      <c r="T143" s="253"/>
      <c r="U143" s="253"/>
      <c r="V143" s="247"/>
    </row>
    <row r="144" spans="1:22">
      <c r="A144" s="242"/>
      <c r="B144" s="219"/>
      <c r="C144" s="239"/>
      <c r="D144" s="240"/>
      <c r="E144" s="240"/>
      <c r="F144" s="240"/>
      <c r="G144" s="240"/>
      <c r="H144" s="240"/>
      <c r="I144" s="240"/>
      <c r="J144" s="241"/>
      <c r="K144" s="241"/>
      <c r="L144" s="240"/>
      <c r="M144" s="240"/>
      <c r="N144" s="240"/>
      <c r="O144" s="241"/>
      <c r="P144" s="241"/>
      <c r="Q144" s="240"/>
      <c r="R144" s="241"/>
      <c r="S144" s="241"/>
      <c r="T144" s="241"/>
      <c r="U144" s="241"/>
      <c r="V144" s="247"/>
    </row>
    <row r="145" spans="1:22">
      <c r="A145" s="242"/>
      <c r="B145" s="243"/>
      <c r="C145" s="244"/>
      <c r="D145" s="245"/>
      <c r="E145" s="245"/>
      <c r="F145" s="245"/>
      <c r="G145" s="245"/>
      <c r="H145" s="245"/>
      <c r="I145" s="245"/>
      <c r="J145" s="246"/>
      <c r="K145" s="246"/>
      <c r="L145" s="245"/>
      <c r="M145" s="245"/>
      <c r="N145" s="245"/>
      <c r="O145" s="246"/>
      <c r="P145" s="246"/>
      <c r="Q145" s="245"/>
      <c r="R145" s="246"/>
      <c r="S145" s="246"/>
      <c r="T145" s="246"/>
      <c r="U145" s="246"/>
      <c r="V145" s="247"/>
    </row>
    <row r="146" spans="1:22">
      <c r="A146" s="242"/>
      <c r="B146" s="248"/>
      <c r="C146" s="249"/>
      <c r="D146" s="250"/>
      <c r="E146" s="250"/>
      <c r="F146" s="250"/>
      <c r="G146" s="250"/>
      <c r="H146" s="250"/>
      <c r="I146" s="250"/>
      <c r="J146" s="253"/>
      <c r="K146" s="253"/>
      <c r="L146" s="250"/>
      <c r="M146" s="250"/>
      <c r="N146" s="250"/>
      <c r="O146" s="253"/>
      <c r="P146" s="253"/>
      <c r="Q146" s="250"/>
      <c r="R146" s="253"/>
      <c r="S146" s="253"/>
      <c r="T146" s="253"/>
      <c r="U146" s="253"/>
      <c r="V146" s="247"/>
    </row>
    <row r="147" spans="1:22">
      <c r="A147" s="242"/>
      <c r="B147" s="219"/>
      <c r="C147" s="239"/>
      <c r="D147" s="240"/>
      <c r="E147" s="240"/>
      <c r="F147" s="240"/>
      <c r="G147" s="240"/>
      <c r="H147" s="240"/>
      <c r="I147" s="240"/>
      <c r="J147" s="241"/>
      <c r="K147" s="241"/>
      <c r="L147" s="240"/>
      <c r="M147" s="240"/>
      <c r="N147" s="240"/>
      <c r="O147" s="241"/>
      <c r="P147" s="241"/>
      <c r="Q147" s="240"/>
      <c r="R147" s="241"/>
      <c r="S147" s="241"/>
      <c r="T147" s="241"/>
      <c r="U147" s="241"/>
      <c r="V147" s="247"/>
    </row>
    <row r="148" spans="1:22">
      <c r="A148" s="242"/>
      <c r="B148" s="243"/>
      <c r="C148" s="244"/>
      <c r="D148" s="245"/>
      <c r="E148" s="245"/>
      <c r="F148" s="245"/>
      <c r="G148" s="245"/>
      <c r="H148" s="245"/>
      <c r="I148" s="245"/>
      <c r="J148" s="246"/>
      <c r="K148" s="246"/>
      <c r="L148" s="245"/>
      <c r="M148" s="245"/>
      <c r="N148" s="245"/>
      <c r="O148" s="246"/>
      <c r="P148" s="246"/>
      <c r="Q148" s="245"/>
      <c r="R148" s="246"/>
      <c r="S148" s="246"/>
      <c r="T148" s="246"/>
      <c r="U148" s="246"/>
      <c r="V148" s="247"/>
    </row>
    <row r="149" spans="1:22" ht="15.75" thickBot="1">
      <c r="A149" s="261"/>
      <c r="B149" s="262"/>
      <c r="C149" s="263"/>
      <c r="D149" s="264"/>
      <c r="E149" s="264"/>
      <c r="F149" s="264"/>
      <c r="G149" s="264"/>
      <c r="H149" s="264"/>
      <c r="I149" s="264"/>
      <c r="J149" s="265"/>
      <c r="K149" s="265"/>
      <c r="L149" s="264"/>
      <c r="M149" s="264"/>
      <c r="N149" s="264"/>
      <c r="O149" s="265"/>
      <c r="P149" s="265"/>
      <c r="Q149" s="264"/>
      <c r="R149" s="265"/>
      <c r="S149" s="265"/>
      <c r="T149" s="265"/>
      <c r="U149" s="265"/>
      <c r="V149" s="247"/>
    </row>
    <row r="150" spans="1:22">
      <c r="A150" s="238"/>
      <c r="B150" s="219"/>
      <c r="C150" s="239"/>
      <c r="D150" s="240"/>
      <c r="E150" s="240"/>
      <c r="F150" s="240"/>
      <c r="G150" s="240"/>
      <c r="H150" s="240"/>
      <c r="I150" s="240"/>
      <c r="J150" s="241"/>
      <c r="K150" s="241"/>
      <c r="L150" s="240"/>
      <c r="M150" s="240"/>
      <c r="N150" s="240"/>
      <c r="O150" s="241"/>
      <c r="P150" s="241"/>
      <c r="Q150" s="240"/>
      <c r="R150" s="241"/>
      <c r="S150" s="241"/>
      <c r="T150" s="241"/>
      <c r="U150" s="241"/>
      <c r="V150" s="247"/>
    </row>
    <row r="151" spans="1:22">
      <c r="A151" s="242"/>
      <c r="B151" s="243"/>
      <c r="C151" s="244"/>
      <c r="D151" s="245"/>
      <c r="E151" s="245"/>
      <c r="F151" s="245"/>
      <c r="G151" s="245"/>
      <c r="H151" s="245"/>
      <c r="I151" s="245"/>
      <c r="J151" s="246"/>
      <c r="K151" s="246"/>
      <c r="L151" s="245"/>
      <c r="M151" s="245"/>
      <c r="N151" s="245"/>
      <c r="O151" s="246"/>
      <c r="P151" s="246"/>
      <c r="Q151" s="245"/>
      <c r="R151" s="246"/>
      <c r="S151" s="246"/>
      <c r="T151" s="246"/>
      <c r="U151" s="246"/>
      <c r="V151" s="247"/>
    </row>
    <row r="152" spans="1:22">
      <c r="A152" s="242"/>
      <c r="B152" s="248"/>
      <c r="C152" s="249"/>
      <c r="D152" s="250"/>
      <c r="E152" s="250"/>
      <c r="F152" s="250"/>
      <c r="G152" s="250"/>
      <c r="H152" s="250"/>
      <c r="I152" s="250"/>
      <c r="J152" s="253"/>
      <c r="K152" s="253"/>
      <c r="L152" s="250"/>
      <c r="M152" s="250"/>
      <c r="N152" s="250"/>
      <c r="O152" s="253"/>
      <c r="P152" s="253"/>
      <c r="Q152" s="250"/>
      <c r="R152" s="253"/>
      <c r="S152" s="253"/>
      <c r="T152" s="253"/>
      <c r="U152" s="253"/>
      <c r="V152" s="247"/>
    </row>
    <row r="153" spans="1:22">
      <c r="A153" s="242"/>
      <c r="B153" s="219"/>
      <c r="C153" s="239"/>
      <c r="D153" s="240"/>
      <c r="E153" s="240"/>
      <c r="F153" s="240"/>
      <c r="G153" s="240"/>
      <c r="H153" s="240"/>
      <c r="I153" s="240"/>
      <c r="J153" s="241"/>
      <c r="K153" s="241"/>
      <c r="L153" s="240"/>
      <c r="M153" s="240"/>
      <c r="N153" s="240"/>
      <c r="O153" s="241"/>
      <c r="P153" s="241"/>
      <c r="Q153" s="240"/>
      <c r="R153" s="241"/>
      <c r="S153" s="241"/>
      <c r="T153" s="241"/>
      <c r="U153" s="241"/>
      <c r="V153" s="247"/>
    </row>
    <row r="154" spans="1:22">
      <c r="A154" s="242"/>
      <c r="B154" s="243"/>
      <c r="C154" s="244"/>
      <c r="D154" s="245"/>
      <c r="E154" s="245"/>
      <c r="F154" s="245"/>
      <c r="G154" s="245"/>
      <c r="H154" s="245"/>
      <c r="I154" s="245"/>
      <c r="J154" s="246"/>
      <c r="K154" s="246"/>
      <c r="L154" s="245"/>
      <c r="M154" s="245"/>
      <c r="N154" s="245"/>
      <c r="O154" s="246"/>
      <c r="P154" s="246"/>
      <c r="Q154" s="245"/>
      <c r="R154" s="246"/>
      <c r="S154" s="246"/>
      <c r="T154" s="246"/>
      <c r="U154" s="246"/>
      <c r="V154" s="247"/>
    </row>
    <row r="155" spans="1:22">
      <c r="A155" s="242"/>
      <c r="B155" s="248"/>
      <c r="C155" s="249"/>
      <c r="D155" s="250"/>
      <c r="E155" s="250"/>
      <c r="F155" s="250"/>
      <c r="G155" s="250"/>
      <c r="H155" s="250"/>
      <c r="I155" s="250"/>
      <c r="J155" s="253"/>
      <c r="K155" s="253"/>
      <c r="L155" s="250"/>
      <c r="M155" s="250"/>
      <c r="N155" s="250"/>
      <c r="O155" s="253"/>
      <c r="P155" s="253"/>
      <c r="Q155" s="250"/>
      <c r="R155" s="253"/>
      <c r="S155" s="253"/>
      <c r="T155" s="253"/>
      <c r="U155" s="253"/>
      <c r="V155" s="247"/>
    </row>
    <row r="156" spans="1:22">
      <c r="A156" s="242"/>
      <c r="B156" s="219"/>
      <c r="C156" s="239"/>
      <c r="D156" s="240"/>
      <c r="E156" s="240"/>
      <c r="F156" s="240"/>
      <c r="G156" s="240"/>
      <c r="H156" s="240"/>
      <c r="I156" s="240"/>
      <c r="J156" s="241"/>
      <c r="K156" s="241"/>
      <c r="L156" s="240"/>
      <c r="M156" s="240"/>
      <c r="N156" s="240"/>
      <c r="O156" s="241"/>
      <c r="P156" s="241"/>
      <c r="Q156" s="240"/>
      <c r="R156" s="241"/>
      <c r="S156" s="241"/>
      <c r="T156" s="241"/>
      <c r="U156" s="241"/>
      <c r="V156" s="247"/>
    </row>
    <row r="157" spans="1:22">
      <c r="A157" s="242"/>
      <c r="B157" s="243"/>
      <c r="C157" s="244"/>
      <c r="D157" s="245"/>
      <c r="E157" s="245"/>
      <c r="F157" s="245"/>
      <c r="G157" s="245"/>
      <c r="H157" s="245"/>
      <c r="I157" s="245"/>
      <c r="J157" s="246"/>
      <c r="K157" s="246"/>
      <c r="L157" s="245"/>
      <c r="M157" s="245"/>
      <c r="N157" s="245"/>
      <c r="O157" s="246"/>
      <c r="P157" s="246"/>
      <c r="Q157" s="245"/>
      <c r="R157" s="246"/>
      <c r="S157" s="246"/>
      <c r="T157" s="246"/>
      <c r="U157" s="246"/>
      <c r="V157" s="247"/>
    </row>
    <row r="158" spans="1:22">
      <c r="A158" s="242"/>
      <c r="B158" s="248"/>
      <c r="C158" s="249"/>
      <c r="D158" s="250"/>
      <c r="E158" s="250"/>
      <c r="F158" s="250"/>
      <c r="G158" s="250"/>
      <c r="H158" s="250"/>
      <c r="I158" s="250"/>
      <c r="J158" s="253"/>
      <c r="K158" s="268"/>
      <c r="L158" s="252"/>
      <c r="M158" s="250"/>
      <c r="N158" s="250"/>
      <c r="O158" s="253"/>
      <c r="P158" s="253"/>
      <c r="Q158" s="250"/>
      <c r="R158" s="253"/>
      <c r="S158" s="253"/>
      <c r="T158" s="253"/>
      <c r="U158" s="253"/>
      <c r="V158" s="247"/>
    </row>
    <row r="159" spans="1:22">
      <c r="A159" s="242"/>
      <c r="B159" s="219"/>
      <c r="C159" s="239"/>
      <c r="D159" s="240"/>
      <c r="E159" s="240"/>
      <c r="F159" s="240"/>
      <c r="G159" s="240"/>
      <c r="H159" s="240"/>
      <c r="I159" s="240"/>
      <c r="J159" s="241"/>
      <c r="K159" s="241"/>
      <c r="L159" s="240"/>
      <c r="M159" s="240"/>
      <c r="N159" s="240"/>
      <c r="O159" s="241"/>
      <c r="P159" s="241"/>
      <c r="Q159" s="240"/>
      <c r="R159" s="241"/>
      <c r="S159" s="241"/>
      <c r="T159" s="241"/>
      <c r="U159" s="241"/>
      <c r="V159" s="247"/>
    </row>
    <row r="160" spans="1:22">
      <c r="A160" s="242"/>
      <c r="B160" s="243"/>
      <c r="C160" s="244"/>
      <c r="D160" s="245"/>
      <c r="E160" s="245"/>
      <c r="F160" s="245"/>
      <c r="G160" s="245"/>
      <c r="H160" s="254"/>
      <c r="I160" s="245"/>
      <c r="J160" s="246"/>
      <c r="K160" s="246"/>
      <c r="L160" s="245"/>
      <c r="M160" s="254"/>
      <c r="N160" s="245"/>
      <c r="O160" s="246"/>
      <c r="P160" s="246"/>
      <c r="Q160" s="245"/>
      <c r="R160" s="246"/>
      <c r="S160" s="246"/>
      <c r="T160" s="246"/>
      <c r="U160" s="246"/>
      <c r="V160" s="247"/>
    </row>
    <row r="161" spans="1:22">
      <c r="A161" s="242"/>
      <c r="B161" s="248"/>
      <c r="C161" s="249"/>
      <c r="D161" s="250"/>
      <c r="E161" s="250"/>
      <c r="F161" s="250"/>
      <c r="G161" s="250"/>
      <c r="H161" s="250"/>
      <c r="I161" s="250"/>
      <c r="J161" s="253"/>
      <c r="K161" s="253"/>
      <c r="L161" s="250"/>
      <c r="M161" s="252"/>
      <c r="N161" s="250"/>
      <c r="O161" s="253"/>
      <c r="P161" s="253"/>
      <c r="Q161" s="250"/>
      <c r="R161" s="253"/>
      <c r="S161" s="253"/>
      <c r="T161" s="253"/>
      <c r="U161" s="253"/>
      <c r="V161" s="247"/>
    </row>
    <row r="162" spans="1:22">
      <c r="A162" s="242"/>
      <c r="B162" s="219"/>
      <c r="C162" s="239"/>
      <c r="D162" s="240"/>
      <c r="E162" s="240"/>
      <c r="F162" s="240"/>
      <c r="G162" s="240"/>
      <c r="H162" s="240"/>
      <c r="I162" s="240"/>
      <c r="J162" s="241"/>
      <c r="K162" s="241"/>
      <c r="L162" s="240"/>
      <c r="M162" s="240"/>
      <c r="N162" s="240"/>
      <c r="O162" s="241"/>
      <c r="P162" s="241"/>
      <c r="Q162" s="240"/>
      <c r="R162" s="241"/>
      <c r="S162" s="241"/>
      <c r="T162" s="241"/>
      <c r="U162" s="241"/>
      <c r="V162" s="247"/>
    </row>
    <row r="163" spans="1:22">
      <c r="A163" s="242"/>
      <c r="B163" s="243"/>
      <c r="C163" s="244"/>
      <c r="D163" s="245"/>
      <c r="E163" s="245"/>
      <c r="F163" s="245"/>
      <c r="G163" s="245"/>
      <c r="H163" s="245"/>
      <c r="I163" s="245"/>
      <c r="J163" s="246"/>
      <c r="K163" s="246"/>
      <c r="L163" s="254"/>
      <c r="M163" s="245"/>
      <c r="N163" s="245"/>
      <c r="O163" s="246"/>
      <c r="P163" s="246"/>
      <c r="Q163" s="245"/>
      <c r="R163" s="246"/>
      <c r="S163" s="246"/>
      <c r="T163" s="246"/>
      <c r="U163" s="246"/>
      <c r="V163" s="247"/>
    </row>
    <row r="164" spans="1:22">
      <c r="A164" s="242"/>
      <c r="B164" s="248"/>
      <c r="C164" s="249"/>
      <c r="D164" s="250"/>
      <c r="E164" s="250"/>
      <c r="F164" s="250"/>
      <c r="G164" s="250"/>
      <c r="H164" s="250"/>
      <c r="I164" s="250"/>
      <c r="J164" s="253"/>
      <c r="K164" s="253"/>
      <c r="L164" s="252"/>
      <c r="M164" s="250"/>
      <c r="N164" s="250"/>
      <c r="O164" s="253"/>
      <c r="P164" s="253"/>
      <c r="Q164" s="250"/>
      <c r="R164" s="253"/>
      <c r="S164" s="253"/>
      <c r="T164" s="253"/>
      <c r="U164" s="253"/>
      <c r="V164" s="247"/>
    </row>
    <row r="165" spans="1:22">
      <c r="A165" s="242"/>
      <c r="B165" s="219"/>
      <c r="C165" s="239"/>
      <c r="D165" s="240"/>
      <c r="E165" s="240"/>
      <c r="F165" s="240"/>
      <c r="G165" s="240"/>
      <c r="H165" s="240"/>
      <c r="I165" s="240"/>
      <c r="J165" s="241"/>
      <c r="K165" s="241"/>
      <c r="L165" s="240"/>
      <c r="M165" s="240"/>
      <c r="N165" s="240"/>
      <c r="O165" s="241"/>
      <c r="P165" s="241"/>
      <c r="Q165" s="240"/>
      <c r="R165" s="241"/>
      <c r="S165" s="241"/>
      <c r="T165" s="241"/>
      <c r="U165" s="241"/>
      <c r="V165" s="247"/>
    </row>
    <row r="166" spans="1:22">
      <c r="A166" s="242"/>
      <c r="B166" s="243"/>
      <c r="C166" s="244"/>
      <c r="D166" s="245"/>
      <c r="E166" s="245"/>
      <c r="F166" s="245"/>
      <c r="G166" s="245"/>
      <c r="H166" s="245"/>
      <c r="I166" s="245"/>
      <c r="J166" s="246"/>
      <c r="K166" s="246"/>
      <c r="L166" s="245"/>
      <c r="M166" s="245"/>
      <c r="N166" s="245"/>
      <c r="O166" s="246"/>
      <c r="P166" s="246"/>
      <c r="Q166" s="245"/>
      <c r="R166" s="246"/>
      <c r="S166" s="246"/>
      <c r="T166" s="246"/>
      <c r="U166" s="246"/>
      <c r="V166" s="247"/>
    </row>
    <row r="167" spans="1:22" ht="15.75" thickBot="1">
      <c r="A167" s="242"/>
      <c r="B167" s="257"/>
      <c r="C167" s="258"/>
      <c r="D167" s="259"/>
      <c r="E167" s="259"/>
      <c r="F167" s="259"/>
      <c r="G167" s="259"/>
      <c r="H167" s="259"/>
      <c r="I167" s="259"/>
      <c r="J167" s="260"/>
      <c r="K167" s="260"/>
      <c r="L167" s="259"/>
      <c r="M167" s="259"/>
      <c r="N167" s="259"/>
      <c r="O167" s="260"/>
      <c r="P167" s="260"/>
      <c r="Q167" s="259"/>
      <c r="R167" s="260"/>
      <c r="S167" s="260"/>
      <c r="T167" s="260"/>
      <c r="U167" s="260"/>
      <c r="V167" s="247"/>
    </row>
    <row r="168" spans="1:22" ht="15.75" thickTop="1">
      <c r="A168" s="242"/>
      <c r="B168" s="243"/>
      <c r="C168" s="244"/>
      <c r="D168" s="245"/>
      <c r="E168" s="245"/>
      <c r="F168" s="245"/>
      <c r="G168" s="245"/>
      <c r="H168" s="245"/>
      <c r="I168" s="245"/>
      <c r="J168" s="246"/>
      <c r="K168" s="246"/>
      <c r="L168" s="245"/>
      <c r="M168" s="245"/>
      <c r="N168" s="245"/>
      <c r="O168" s="246"/>
      <c r="P168" s="246"/>
      <c r="Q168" s="245"/>
      <c r="R168" s="246"/>
      <c r="S168" s="246"/>
      <c r="T168" s="246"/>
      <c r="U168" s="246"/>
      <c r="V168" s="247"/>
    </row>
    <row r="169" spans="1:22">
      <c r="A169" s="242"/>
      <c r="B169" s="243"/>
      <c r="C169" s="244"/>
      <c r="D169" s="245"/>
      <c r="E169" s="245"/>
      <c r="F169" s="245"/>
      <c r="G169" s="245"/>
      <c r="H169" s="245"/>
      <c r="I169" s="245"/>
      <c r="J169" s="246"/>
      <c r="K169" s="246"/>
      <c r="L169" s="245"/>
      <c r="M169" s="245"/>
      <c r="N169" s="245"/>
      <c r="O169" s="246"/>
      <c r="P169" s="246"/>
      <c r="Q169" s="245"/>
      <c r="R169" s="246"/>
      <c r="S169" s="246"/>
      <c r="T169" s="246"/>
      <c r="U169" s="246"/>
      <c r="V169" s="247"/>
    </row>
    <row r="170" spans="1:22">
      <c r="A170" s="242"/>
      <c r="B170" s="248"/>
      <c r="C170" s="249"/>
      <c r="D170" s="252"/>
      <c r="E170" s="250"/>
      <c r="F170" s="250"/>
      <c r="G170" s="250"/>
      <c r="H170" s="250"/>
      <c r="I170" s="250"/>
      <c r="J170" s="253"/>
      <c r="K170" s="253"/>
      <c r="L170" s="250"/>
      <c r="M170" s="250"/>
      <c r="N170" s="250"/>
      <c r="O170" s="253"/>
      <c r="P170" s="253"/>
      <c r="Q170" s="250"/>
      <c r="R170" s="253"/>
      <c r="S170" s="253"/>
      <c r="T170" s="253"/>
      <c r="U170" s="253"/>
      <c r="V170" s="247"/>
    </row>
    <row r="171" spans="1:22">
      <c r="A171" s="242"/>
      <c r="B171" s="219"/>
      <c r="C171" s="239"/>
      <c r="D171" s="240"/>
      <c r="E171" s="240"/>
      <c r="F171" s="240"/>
      <c r="G171" s="240"/>
      <c r="H171" s="240"/>
      <c r="I171" s="240"/>
      <c r="J171" s="241"/>
      <c r="K171" s="241"/>
      <c r="L171" s="240"/>
      <c r="M171" s="240"/>
      <c r="N171" s="240"/>
      <c r="O171" s="241"/>
      <c r="P171" s="241"/>
      <c r="Q171" s="240"/>
      <c r="R171" s="241"/>
      <c r="S171" s="241"/>
      <c r="T171" s="241"/>
      <c r="U171" s="241"/>
      <c r="V171" s="247"/>
    </row>
    <row r="172" spans="1:22">
      <c r="A172" s="242"/>
      <c r="B172" s="243"/>
      <c r="C172" s="244"/>
      <c r="D172" s="245"/>
      <c r="E172" s="245"/>
      <c r="F172" s="245"/>
      <c r="G172" s="245"/>
      <c r="H172" s="245"/>
      <c r="I172" s="245"/>
      <c r="J172" s="246"/>
      <c r="K172" s="246"/>
      <c r="L172" s="245"/>
      <c r="M172" s="245"/>
      <c r="N172" s="245"/>
      <c r="O172" s="246"/>
      <c r="P172" s="246"/>
      <c r="Q172" s="245"/>
      <c r="R172" s="246"/>
      <c r="S172" s="246"/>
      <c r="T172" s="246"/>
      <c r="U172" s="246"/>
      <c r="V172" s="247"/>
    </row>
    <row r="173" spans="1:22">
      <c r="A173" s="242"/>
      <c r="B173" s="248"/>
      <c r="C173" s="249"/>
      <c r="D173" s="250"/>
      <c r="E173" s="250"/>
      <c r="F173" s="250"/>
      <c r="G173" s="252"/>
      <c r="H173" s="250"/>
      <c r="I173" s="250"/>
      <c r="J173" s="253"/>
      <c r="K173" s="253"/>
      <c r="L173" s="250"/>
      <c r="M173" s="250"/>
      <c r="N173" s="250"/>
      <c r="O173" s="253"/>
      <c r="P173" s="253"/>
      <c r="Q173" s="250"/>
      <c r="R173" s="253"/>
      <c r="S173" s="253"/>
      <c r="T173" s="253"/>
      <c r="U173" s="253"/>
      <c r="V173" s="247"/>
    </row>
    <row r="174" spans="1:22">
      <c r="A174" s="242"/>
      <c r="B174" s="219"/>
      <c r="C174" s="239"/>
      <c r="D174" s="240"/>
      <c r="E174" s="240"/>
      <c r="F174" s="240"/>
      <c r="G174" s="240"/>
      <c r="H174" s="240"/>
      <c r="I174" s="240"/>
      <c r="J174" s="241"/>
      <c r="K174" s="241"/>
      <c r="L174" s="240"/>
      <c r="M174" s="240"/>
      <c r="N174" s="240"/>
      <c r="O174" s="241"/>
      <c r="P174" s="241"/>
      <c r="Q174" s="240"/>
      <c r="R174" s="241"/>
      <c r="S174" s="241"/>
      <c r="T174" s="241"/>
      <c r="U174" s="241"/>
      <c r="V174" s="247"/>
    </row>
    <row r="175" spans="1:22">
      <c r="A175" s="242"/>
      <c r="B175" s="243"/>
      <c r="C175" s="244"/>
      <c r="D175" s="245"/>
      <c r="E175" s="245"/>
      <c r="F175" s="245"/>
      <c r="G175" s="245"/>
      <c r="H175" s="245"/>
      <c r="I175" s="245"/>
      <c r="J175" s="246"/>
      <c r="K175" s="246"/>
      <c r="L175" s="245"/>
      <c r="M175" s="245"/>
      <c r="N175" s="245"/>
      <c r="O175" s="246"/>
      <c r="P175" s="246"/>
      <c r="Q175" s="245"/>
      <c r="R175" s="246"/>
      <c r="S175" s="246"/>
      <c r="T175" s="246"/>
      <c r="U175" s="246"/>
      <c r="V175" s="247"/>
    </row>
    <row r="176" spans="1:22">
      <c r="A176" s="242"/>
      <c r="B176" s="248"/>
      <c r="C176" s="249"/>
      <c r="D176" s="252"/>
      <c r="E176" s="250"/>
      <c r="F176" s="250"/>
      <c r="G176" s="252"/>
      <c r="H176" s="250"/>
      <c r="I176" s="250"/>
      <c r="J176" s="253"/>
      <c r="K176" s="253"/>
      <c r="L176" s="250"/>
      <c r="M176" s="250"/>
      <c r="N176" s="250"/>
      <c r="O176" s="253"/>
      <c r="P176" s="253"/>
      <c r="Q176" s="250"/>
      <c r="R176" s="253"/>
      <c r="S176" s="253"/>
      <c r="T176" s="253"/>
      <c r="U176" s="253"/>
      <c r="V176" s="247"/>
    </row>
    <row r="177" spans="1:22">
      <c r="A177" s="242"/>
      <c r="B177" s="219"/>
      <c r="C177" s="239"/>
      <c r="D177" s="240"/>
      <c r="E177" s="240"/>
      <c r="F177" s="240"/>
      <c r="G177" s="240"/>
      <c r="H177" s="240"/>
      <c r="I177" s="240"/>
      <c r="J177" s="241"/>
      <c r="K177" s="241"/>
      <c r="L177" s="240"/>
      <c r="M177" s="240"/>
      <c r="N177" s="240"/>
      <c r="O177" s="241"/>
      <c r="P177" s="241"/>
      <c r="Q177" s="240"/>
      <c r="R177" s="241"/>
      <c r="S177" s="241"/>
      <c r="T177" s="241"/>
      <c r="U177" s="241"/>
      <c r="V177" s="247"/>
    </row>
    <row r="178" spans="1:22">
      <c r="A178" s="242"/>
      <c r="B178" s="243"/>
      <c r="C178" s="244"/>
      <c r="D178" s="245"/>
      <c r="E178" s="245"/>
      <c r="F178" s="245"/>
      <c r="G178" s="245"/>
      <c r="H178" s="245"/>
      <c r="I178" s="245"/>
      <c r="J178" s="246"/>
      <c r="K178" s="246"/>
      <c r="L178" s="245"/>
      <c r="M178" s="245"/>
      <c r="N178" s="245"/>
      <c r="O178" s="246"/>
      <c r="P178" s="246"/>
      <c r="Q178" s="245"/>
      <c r="R178" s="246"/>
      <c r="S178" s="246"/>
      <c r="T178" s="246"/>
      <c r="U178" s="246"/>
      <c r="V178" s="247"/>
    </row>
    <row r="179" spans="1:22">
      <c r="A179" s="242"/>
      <c r="B179" s="248"/>
      <c r="C179" s="249"/>
      <c r="D179" s="250"/>
      <c r="E179" s="250"/>
      <c r="F179" s="250"/>
      <c r="G179" s="250"/>
      <c r="H179" s="250"/>
      <c r="I179" s="250"/>
      <c r="J179" s="253"/>
      <c r="K179" s="253"/>
      <c r="L179" s="250"/>
      <c r="M179" s="250"/>
      <c r="N179" s="250"/>
      <c r="O179" s="253"/>
      <c r="P179" s="253"/>
      <c r="Q179" s="250"/>
      <c r="R179" s="253"/>
      <c r="S179" s="253"/>
      <c r="T179" s="253"/>
      <c r="U179" s="253"/>
      <c r="V179" s="247"/>
    </row>
    <row r="180" spans="1:22">
      <c r="A180" s="242"/>
      <c r="B180" s="219"/>
      <c r="C180" s="239"/>
      <c r="D180" s="240"/>
      <c r="E180" s="240"/>
      <c r="F180" s="240"/>
      <c r="G180" s="240"/>
      <c r="H180" s="240"/>
      <c r="I180" s="240"/>
      <c r="J180" s="241"/>
      <c r="K180" s="241"/>
      <c r="L180" s="240"/>
      <c r="M180" s="240"/>
      <c r="N180" s="240"/>
      <c r="O180" s="241"/>
      <c r="P180" s="241"/>
      <c r="Q180" s="240"/>
      <c r="R180" s="241"/>
      <c r="S180" s="241"/>
      <c r="T180" s="241"/>
      <c r="U180" s="241"/>
      <c r="V180" s="247"/>
    </row>
    <row r="181" spans="1:22">
      <c r="A181" s="242"/>
      <c r="B181" s="243"/>
      <c r="C181" s="244"/>
      <c r="D181" s="245"/>
      <c r="E181" s="245"/>
      <c r="F181" s="245"/>
      <c r="G181" s="245"/>
      <c r="H181" s="245"/>
      <c r="I181" s="245"/>
      <c r="J181" s="246"/>
      <c r="K181" s="246"/>
      <c r="L181" s="245"/>
      <c r="M181" s="245"/>
      <c r="N181" s="245"/>
      <c r="O181" s="246"/>
      <c r="P181" s="246"/>
      <c r="Q181" s="245"/>
      <c r="R181" s="246"/>
      <c r="S181" s="246"/>
      <c r="T181" s="246"/>
      <c r="U181" s="246"/>
      <c r="V181" s="247"/>
    </row>
    <row r="182" spans="1:22">
      <c r="A182" s="242"/>
      <c r="B182" s="248"/>
      <c r="C182" s="249"/>
      <c r="D182" s="250"/>
      <c r="E182" s="250"/>
      <c r="F182" s="250"/>
      <c r="G182" s="250"/>
      <c r="H182" s="250"/>
      <c r="I182" s="250"/>
      <c r="J182" s="253"/>
      <c r="K182" s="253"/>
      <c r="L182" s="250"/>
      <c r="M182" s="250"/>
      <c r="N182" s="250"/>
      <c r="O182" s="253"/>
      <c r="P182" s="253"/>
      <c r="Q182" s="250"/>
      <c r="R182" s="253"/>
      <c r="S182" s="253"/>
      <c r="T182" s="253"/>
      <c r="U182" s="253"/>
      <c r="V182" s="247"/>
    </row>
    <row r="183" spans="1:22">
      <c r="A183" s="242"/>
      <c r="B183" s="219"/>
      <c r="C183" s="239"/>
      <c r="D183" s="240"/>
      <c r="E183" s="240"/>
      <c r="F183" s="240"/>
      <c r="G183" s="240"/>
      <c r="H183" s="240"/>
      <c r="I183" s="240"/>
      <c r="J183" s="241"/>
      <c r="K183" s="241"/>
      <c r="L183" s="240"/>
      <c r="M183" s="240"/>
      <c r="N183" s="240"/>
      <c r="O183" s="241"/>
      <c r="P183" s="241"/>
      <c r="Q183" s="240"/>
      <c r="R183" s="241"/>
      <c r="S183" s="241"/>
      <c r="T183" s="241"/>
      <c r="U183" s="241"/>
      <c r="V183" s="247"/>
    </row>
    <row r="184" spans="1:22">
      <c r="A184" s="242"/>
      <c r="B184" s="243"/>
      <c r="C184" s="244"/>
      <c r="D184" s="245"/>
      <c r="E184" s="245"/>
      <c r="F184" s="245"/>
      <c r="G184" s="245"/>
      <c r="H184" s="245"/>
      <c r="I184" s="245"/>
      <c r="J184" s="246"/>
      <c r="K184" s="246"/>
      <c r="L184" s="245"/>
      <c r="M184" s="245"/>
      <c r="N184" s="245"/>
      <c r="O184" s="246"/>
      <c r="P184" s="246"/>
      <c r="Q184" s="245"/>
      <c r="R184" s="246"/>
      <c r="S184" s="246"/>
      <c r="T184" s="246"/>
      <c r="U184" s="246"/>
      <c r="V184" s="247"/>
    </row>
    <row r="185" spans="1:22" ht="15.75" thickBot="1">
      <c r="A185" s="261"/>
      <c r="B185" s="262"/>
      <c r="C185" s="263"/>
      <c r="D185" s="264"/>
      <c r="E185" s="264"/>
      <c r="F185" s="264"/>
      <c r="G185" s="264"/>
      <c r="H185" s="264"/>
      <c r="I185" s="264"/>
      <c r="J185" s="265"/>
      <c r="K185" s="265"/>
      <c r="L185" s="264"/>
      <c r="M185" s="264"/>
      <c r="N185" s="264"/>
      <c r="O185" s="265"/>
      <c r="P185" s="265"/>
      <c r="Q185" s="264"/>
      <c r="R185" s="265"/>
      <c r="S185" s="265"/>
      <c r="T185" s="265"/>
      <c r="U185" s="265"/>
      <c r="V185" s="247"/>
    </row>
    <row r="186" spans="1:22">
      <c r="A186" s="238"/>
      <c r="B186" s="219"/>
      <c r="C186" s="239"/>
      <c r="D186" s="240"/>
      <c r="E186" s="240"/>
      <c r="F186" s="240"/>
      <c r="G186" s="240"/>
      <c r="H186" s="240"/>
      <c r="I186" s="240"/>
      <c r="J186" s="241"/>
      <c r="K186" s="241"/>
      <c r="L186" s="240"/>
      <c r="M186" s="240"/>
      <c r="N186" s="240"/>
      <c r="O186" s="241"/>
      <c r="P186" s="241"/>
      <c r="Q186" s="240"/>
      <c r="R186" s="241"/>
      <c r="S186" s="241"/>
      <c r="T186" s="241"/>
      <c r="U186" s="241"/>
      <c r="V186" s="247"/>
    </row>
    <row r="187" spans="1:22">
      <c r="A187" s="242"/>
      <c r="B187" s="243"/>
      <c r="C187" s="244"/>
      <c r="D187" s="245"/>
      <c r="E187" s="245"/>
      <c r="F187" s="245"/>
      <c r="G187" s="245"/>
      <c r="H187" s="245"/>
      <c r="I187" s="245"/>
      <c r="J187" s="246"/>
      <c r="K187" s="246"/>
      <c r="L187" s="245"/>
      <c r="M187" s="245"/>
      <c r="N187" s="245"/>
      <c r="O187" s="246"/>
      <c r="P187" s="246"/>
      <c r="Q187" s="245"/>
      <c r="R187" s="246"/>
      <c r="S187" s="246"/>
      <c r="T187" s="246"/>
      <c r="U187" s="246"/>
      <c r="V187" s="247"/>
    </row>
    <row r="188" spans="1:22">
      <c r="A188" s="242"/>
      <c r="B188" s="248"/>
      <c r="C188" s="249"/>
      <c r="D188" s="250"/>
      <c r="E188" s="250"/>
      <c r="F188" s="250"/>
      <c r="G188" s="250"/>
      <c r="H188" s="250"/>
      <c r="I188" s="250"/>
      <c r="J188" s="253"/>
      <c r="K188" s="253"/>
      <c r="L188" s="252"/>
      <c r="M188" s="252"/>
      <c r="N188" s="252"/>
      <c r="O188" s="253"/>
      <c r="P188" s="268"/>
      <c r="Q188" s="250"/>
      <c r="R188" s="253"/>
      <c r="S188" s="253"/>
      <c r="T188" s="253"/>
      <c r="U188" s="253"/>
      <c r="V188" s="247"/>
    </row>
    <row r="189" spans="1:22">
      <c r="A189" s="242"/>
      <c r="B189" s="219"/>
      <c r="C189" s="239"/>
      <c r="D189" s="240"/>
      <c r="E189" s="240"/>
      <c r="F189" s="240"/>
      <c r="G189" s="240"/>
      <c r="H189" s="240"/>
      <c r="I189" s="240"/>
      <c r="J189" s="241"/>
      <c r="K189" s="241"/>
      <c r="L189" s="240"/>
      <c r="M189" s="240"/>
      <c r="N189" s="240"/>
      <c r="O189" s="241"/>
      <c r="P189" s="241"/>
      <c r="Q189" s="240"/>
      <c r="R189" s="241"/>
      <c r="S189" s="241"/>
      <c r="T189" s="241"/>
      <c r="U189" s="241"/>
      <c r="V189" s="247"/>
    </row>
    <row r="190" spans="1:22">
      <c r="A190" s="242"/>
      <c r="B190" s="243"/>
      <c r="C190" s="244"/>
      <c r="D190" s="245"/>
      <c r="E190" s="245"/>
      <c r="F190" s="245"/>
      <c r="G190" s="245"/>
      <c r="H190" s="245"/>
      <c r="I190" s="245"/>
      <c r="J190" s="246"/>
      <c r="K190" s="246"/>
      <c r="L190" s="245"/>
      <c r="M190" s="245"/>
      <c r="N190" s="245"/>
      <c r="O190" s="246"/>
      <c r="P190" s="246"/>
      <c r="Q190" s="245"/>
      <c r="R190" s="246"/>
      <c r="S190" s="246"/>
      <c r="T190" s="246"/>
      <c r="U190" s="246"/>
      <c r="V190" s="247"/>
    </row>
    <row r="191" spans="1:22">
      <c r="A191" s="242"/>
      <c r="B191" s="248"/>
      <c r="C191" s="249"/>
      <c r="D191" s="250"/>
      <c r="E191" s="250"/>
      <c r="F191" s="250"/>
      <c r="G191" s="250"/>
      <c r="H191" s="250"/>
      <c r="I191" s="250"/>
      <c r="J191" s="253"/>
      <c r="K191" s="253"/>
      <c r="L191" s="252"/>
      <c r="M191" s="252"/>
      <c r="N191" s="252"/>
      <c r="O191" s="253"/>
      <c r="P191" s="268"/>
      <c r="Q191" s="250"/>
      <c r="R191" s="253"/>
      <c r="S191" s="253"/>
      <c r="T191" s="253"/>
      <c r="U191" s="253"/>
      <c r="V191" s="247"/>
    </row>
    <row r="192" spans="1:22">
      <c r="A192" s="242"/>
      <c r="B192" s="219"/>
      <c r="C192" s="239"/>
      <c r="D192" s="240"/>
      <c r="E192" s="240"/>
      <c r="F192" s="240"/>
      <c r="G192" s="240"/>
      <c r="H192" s="240"/>
      <c r="I192" s="240"/>
      <c r="J192" s="241"/>
      <c r="K192" s="241"/>
      <c r="L192" s="240"/>
      <c r="M192" s="240"/>
      <c r="N192" s="240"/>
      <c r="O192" s="241"/>
      <c r="P192" s="241"/>
      <c r="Q192" s="240"/>
      <c r="R192" s="241"/>
      <c r="S192" s="241"/>
      <c r="T192" s="241"/>
      <c r="U192" s="241"/>
      <c r="V192" s="247"/>
    </row>
    <row r="193" spans="1:22">
      <c r="A193" s="242"/>
      <c r="B193" s="243"/>
      <c r="C193" s="244"/>
      <c r="D193" s="245"/>
      <c r="E193" s="245"/>
      <c r="F193" s="245"/>
      <c r="G193" s="245"/>
      <c r="H193" s="245"/>
      <c r="I193" s="245"/>
      <c r="J193" s="246"/>
      <c r="K193" s="246"/>
      <c r="L193" s="245"/>
      <c r="M193" s="245"/>
      <c r="N193" s="245"/>
      <c r="O193" s="246"/>
      <c r="P193" s="246"/>
      <c r="Q193" s="245"/>
      <c r="R193" s="246"/>
      <c r="S193" s="246"/>
      <c r="T193" s="246"/>
      <c r="U193" s="246"/>
      <c r="V193" s="247"/>
    </row>
    <row r="194" spans="1:22">
      <c r="A194" s="242"/>
      <c r="B194" s="248"/>
      <c r="C194" s="249"/>
      <c r="D194" s="250"/>
      <c r="E194" s="250"/>
      <c r="F194" s="250"/>
      <c r="G194" s="250"/>
      <c r="H194" s="250"/>
      <c r="I194" s="250"/>
      <c r="J194" s="253"/>
      <c r="K194" s="253"/>
      <c r="L194" s="252"/>
      <c r="M194" s="252"/>
      <c r="N194" s="252"/>
      <c r="O194" s="253"/>
      <c r="P194" s="268"/>
      <c r="Q194" s="250"/>
      <c r="R194" s="253"/>
      <c r="S194" s="253"/>
      <c r="T194" s="253"/>
      <c r="U194" s="253"/>
      <c r="V194" s="247"/>
    </row>
    <row r="195" spans="1:22">
      <c r="A195" s="242"/>
      <c r="B195" s="219"/>
      <c r="C195" s="239"/>
      <c r="D195" s="240"/>
      <c r="E195" s="240"/>
      <c r="F195" s="240"/>
      <c r="G195" s="240"/>
      <c r="H195" s="240"/>
      <c r="I195" s="240"/>
      <c r="J195" s="241"/>
      <c r="K195" s="241"/>
      <c r="L195" s="240"/>
      <c r="M195" s="240"/>
      <c r="N195" s="240"/>
      <c r="O195" s="241"/>
      <c r="P195" s="241"/>
      <c r="Q195" s="240"/>
      <c r="R195" s="241"/>
      <c r="S195" s="241"/>
      <c r="T195" s="241"/>
      <c r="U195" s="241"/>
      <c r="V195" s="247"/>
    </row>
    <row r="196" spans="1:22">
      <c r="A196" s="242"/>
      <c r="B196" s="243"/>
      <c r="C196" s="244"/>
      <c r="D196" s="245"/>
      <c r="E196" s="245"/>
      <c r="F196" s="245"/>
      <c r="G196" s="245"/>
      <c r="H196" s="245"/>
      <c r="I196" s="245"/>
      <c r="J196" s="246"/>
      <c r="K196" s="246"/>
      <c r="L196" s="245"/>
      <c r="M196" s="245"/>
      <c r="N196" s="245"/>
      <c r="O196" s="246"/>
      <c r="P196" s="246"/>
      <c r="Q196" s="245"/>
      <c r="R196" s="246"/>
      <c r="S196" s="246"/>
      <c r="T196" s="246"/>
      <c r="U196" s="246"/>
      <c r="V196" s="247"/>
    </row>
    <row r="197" spans="1:22">
      <c r="A197" s="242"/>
      <c r="B197" s="248"/>
      <c r="C197" s="249"/>
      <c r="D197" s="250"/>
      <c r="E197" s="250"/>
      <c r="F197" s="250"/>
      <c r="G197" s="250"/>
      <c r="H197" s="250"/>
      <c r="I197" s="250"/>
      <c r="J197" s="253"/>
      <c r="K197" s="253"/>
      <c r="L197" s="250"/>
      <c r="M197" s="250"/>
      <c r="N197" s="250"/>
      <c r="O197" s="253"/>
      <c r="P197" s="253"/>
      <c r="Q197" s="250"/>
      <c r="R197" s="253"/>
      <c r="S197" s="253"/>
      <c r="T197" s="253"/>
      <c r="U197" s="253"/>
      <c r="V197" s="247"/>
    </row>
    <row r="198" spans="1:22">
      <c r="A198" s="242"/>
      <c r="B198" s="219"/>
      <c r="C198" s="239"/>
      <c r="D198" s="240"/>
      <c r="E198" s="240"/>
      <c r="F198" s="240"/>
      <c r="G198" s="240"/>
      <c r="H198" s="240"/>
      <c r="I198" s="240"/>
      <c r="J198" s="241"/>
      <c r="K198" s="241"/>
      <c r="L198" s="240"/>
      <c r="M198" s="240"/>
      <c r="N198" s="240"/>
      <c r="O198" s="241"/>
      <c r="P198" s="241"/>
      <c r="Q198" s="240"/>
      <c r="R198" s="241"/>
      <c r="S198" s="241"/>
      <c r="T198" s="241"/>
      <c r="U198" s="241"/>
      <c r="V198" s="247"/>
    </row>
    <row r="199" spans="1:22">
      <c r="A199" s="242"/>
      <c r="B199" s="243"/>
      <c r="C199" s="244"/>
      <c r="D199" s="245"/>
      <c r="E199" s="245"/>
      <c r="F199" s="245"/>
      <c r="G199" s="245"/>
      <c r="H199" s="245"/>
      <c r="I199" s="245"/>
      <c r="J199" s="246"/>
      <c r="K199" s="246"/>
      <c r="L199" s="245"/>
      <c r="M199" s="245"/>
      <c r="N199" s="245"/>
      <c r="O199" s="246"/>
      <c r="P199" s="246"/>
      <c r="Q199" s="245"/>
      <c r="R199" s="246"/>
      <c r="S199" s="246"/>
      <c r="T199" s="246"/>
      <c r="U199" s="246"/>
      <c r="V199" s="247"/>
    </row>
    <row r="200" spans="1:22">
      <c r="A200" s="242"/>
      <c r="B200" s="248"/>
      <c r="C200" s="249"/>
      <c r="D200" s="250"/>
      <c r="E200" s="250"/>
      <c r="F200" s="250"/>
      <c r="G200" s="250"/>
      <c r="H200" s="250"/>
      <c r="I200" s="250"/>
      <c r="J200" s="253"/>
      <c r="K200" s="253"/>
      <c r="L200" s="250"/>
      <c r="M200" s="250"/>
      <c r="N200" s="250"/>
      <c r="O200" s="253"/>
      <c r="P200" s="253"/>
      <c r="Q200" s="250"/>
      <c r="R200" s="253"/>
      <c r="S200" s="253"/>
      <c r="T200" s="253"/>
      <c r="U200" s="253"/>
      <c r="V200" s="247"/>
    </row>
    <row r="201" spans="1:22">
      <c r="A201" s="242"/>
      <c r="B201" s="219"/>
      <c r="C201" s="239"/>
      <c r="D201" s="240"/>
      <c r="E201" s="240"/>
      <c r="F201" s="240"/>
      <c r="G201" s="240"/>
      <c r="H201" s="240"/>
      <c r="I201" s="240"/>
      <c r="J201" s="241"/>
      <c r="K201" s="241"/>
      <c r="L201" s="240"/>
      <c r="M201" s="240"/>
      <c r="N201" s="240"/>
      <c r="O201" s="241"/>
      <c r="P201" s="241"/>
      <c r="Q201" s="240"/>
      <c r="R201" s="241"/>
      <c r="S201" s="241"/>
      <c r="T201" s="241"/>
      <c r="U201" s="241"/>
      <c r="V201" s="247"/>
    </row>
    <row r="202" spans="1:22">
      <c r="A202" s="242"/>
      <c r="B202" s="243"/>
      <c r="C202" s="244"/>
      <c r="D202" s="245"/>
      <c r="E202" s="245"/>
      <c r="F202" s="245"/>
      <c r="G202" s="245"/>
      <c r="H202" s="245"/>
      <c r="I202" s="245"/>
      <c r="J202" s="246"/>
      <c r="K202" s="246"/>
      <c r="L202" s="245"/>
      <c r="M202" s="245"/>
      <c r="N202" s="245"/>
      <c r="O202" s="246"/>
      <c r="P202" s="246"/>
      <c r="Q202" s="245"/>
      <c r="R202" s="246"/>
      <c r="S202" s="246"/>
      <c r="T202" s="246"/>
      <c r="U202" s="246"/>
      <c r="V202" s="247"/>
    </row>
    <row r="203" spans="1:22" ht="15.75" thickBot="1">
      <c r="A203" s="242"/>
      <c r="B203" s="257"/>
      <c r="C203" s="258"/>
      <c r="D203" s="259"/>
      <c r="E203" s="259"/>
      <c r="F203" s="259"/>
      <c r="G203" s="259"/>
      <c r="H203" s="259"/>
      <c r="I203" s="259"/>
      <c r="J203" s="260"/>
      <c r="K203" s="260"/>
      <c r="L203" s="259"/>
      <c r="M203" s="259"/>
      <c r="N203" s="259"/>
      <c r="O203" s="260"/>
      <c r="P203" s="260"/>
      <c r="Q203" s="259"/>
      <c r="R203" s="260"/>
      <c r="S203" s="260"/>
      <c r="T203" s="260"/>
      <c r="U203" s="260"/>
      <c r="V203" s="247"/>
    </row>
    <row r="204" spans="1:22" ht="15.75" thickTop="1">
      <c r="A204" s="242"/>
      <c r="B204" s="243"/>
      <c r="C204" s="244"/>
      <c r="D204" s="245"/>
      <c r="E204" s="245"/>
      <c r="F204" s="245"/>
      <c r="G204" s="245"/>
      <c r="H204" s="245"/>
      <c r="I204" s="245"/>
      <c r="J204" s="246"/>
      <c r="K204" s="246"/>
      <c r="L204" s="245"/>
      <c r="M204" s="245"/>
      <c r="N204" s="245"/>
      <c r="O204" s="246"/>
      <c r="P204" s="246"/>
      <c r="Q204" s="245"/>
      <c r="R204" s="246"/>
      <c r="S204" s="246"/>
      <c r="T204" s="246"/>
      <c r="U204" s="246"/>
      <c r="V204" s="247"/>
    </row>
    <row r="205" spans="1:22">
      <c r="A205" s="242"/>
      <c r="B205" s="243"/>
      <c r="C205" s="244"/>
      <c r="D205" s="245"/>
      <c r="E205" s="245"/>
      <c r="F205" s="245"/>
      <c r="G205" s="245"/>
      <c r="H205" s="245"/>
      <c r="I205" s="245"/>
      <c r="J205" s="246"/>
      <c r="K205" s="246"/>
      <c r="L205" s="245"/>
      <c r="M205" s="245"/>
      <c r="N205" s="245"/>
      <c r="O205" s="246"/>
      <c r="P205" s="246"/>
      <c r="Q205" s="245"/>
      <c r="R205" s="246"/>
      <c r="S205" s="246"/>
      <c r="T205" s="246"/>
      <c r="U205" s="246"/>
      <c r="V205" s="247"/>
    </row>
    <row r="206" spans="1:22">
      <c r="A206" s="242"/>
      <c r="B206" s="248"/>
      <c r="C206" s="269"/>
      <c r="D206" s="250"/>
      <c r="E206" s="250"/>
      <c r="F206" s="252"/>
      <c r="G206" s="250"/>
      <c r="H206" s="250"/>
      <c r="I206" s="250"/>
      <c r="J206" s="253"/>
      <c r="K206" s="253"/>
      <c r="L206" s="250"/>
      <c r="M206" s="250"/>
      <c r="N206" s="250"/>
      <c r="O206" s="253"/>
      <c r="P206" s="253"/>
      <c r="Q206" s="250"/>
      <c r="R206" s="253"/>
      <c r="S206" s="253"/>
      <c r="T206" s="253"/>
      <c r="U206" s="253"/>
      <c r="V206" s="247"/>
    </row>
    <row r="207" spans="1:22">
      <c r="A207" s="242"/>
      <c r="B207" s="219"/>
      <c r="C207" s="239"/>
      <c r="D207" s="240"/>
      <c r="E207" s="240"/>
      <c r="F207" s="240"/>
      <c r="G207" s="240"/>
      <c r="H207" s="240"/>
      <c r="I207" s="240"/>
      <c r="J207" s="241"/>
      <c r="K207" s="241"/>
      <c r="L207" s="240"/>
      <c r="M207" s="240"/>
      <c r="N207" s="240"/>
      <c r="O207" s="241"/>
      <c r="P207" s="241"/>
      <c r="Q207" s="240"/>
      <c r="R207" s="241"/>
      <c r="S207" s="241"/>
      <c r="T207" s="241"/>
      <c r="U207" s="241"/>
      <c r="V207" s="247"/>
    </row>
    <row r="208" spans="1:22">
      <c r="A208" s="242"/>
      <c r="B208" s="243"/>
      <c r="C208" s="244"/>
      <c r="D208" s="245"/>
      <c r="E208" s="245"/>
      <c r="F208" s="245"/>
      <c r="G208" s="245"/>
      <c r="H208" s="245"/>
      <c r="I208" s="245"/>
      <c r="J208" s="246"/>
      <c r="K208" s="246"/>
      <c r="L208" s="245"/>
      <c r="M208" s="245"/>
      <c r="N208" s="245"/>
      <c r="O208" s="246"/>
      <c r="P208" s="246"/>
      <c r="Q208" s="245"/>
      <c r="R208" s="246"/>
      <c r="S208" s="246"/>
      <c r="T208" s="246"/>
      <c r="U208" s="246"/>
      <c r="V208" s="247"/>
    </row>
    <row r="209" spans="1:22">
      <c r="A209" s="242"/>
      <c r="B209" s="248"/>
      <c r="C209" s="249"/>
      <c r="D209" s="250"/>
      <c r="E209" s="250"/>
      <c r="F209" s="250"/>
      <c r="G209" s="250"/>
      <c r="H209" s="250"/>
      <c r="I209" s="250"/>
      <c r="J209" s="253"/>
      <c r="K209" s="253"/>
      <c r="L209" s="250"/>
      <c r="M209" s="250"/>
      <c r="N209" s="250"/>
      <c r="O209" s="253"/>
      <c r="P209" s="253"/>
      <c r="Q209" s="250"/>
      <c r="R209" s="253"/>
      <c r="S209" s="253"/>
      <c r="T209" s="253"/>
      <c r="U209" s="253"/>
      <c r="V209" s="247"/>
    </row>
    <row r="210" spans="1:22">
      <c r="A210" s="242"/>
      <c r="B210" s="219"/>
      <c r="C210" s="239"/>
      <c r="D210" s="240"/>
      <c r="E210" s="240"/>
      <c r="F210" s="240"/>
      <c r="G210" s="240"/>
      <c r="H210" s="240"/>
      <c r="I210" s="240"/>
      <c r="J210" s="241"/>
      <c r="K210" s="241"/>
      <c r="L210" s="240"/>
      <c r="M210" s="240"/>
      <c r="N210" s="240"/>
      <c r="O210" s="241"/>
      <c r="P210" s="241"/>
      <c r="Q210" s="240"/>
      <c r="R210" s="241"/>
      <c r="S210" s="241"/>
      <c r="T210" s="241"/>
      <c r="U210" s="241"/>
      <c r="V210" s="247"/>
    </row>
    <row r="211" spans="1:22">
      <c r="A211" s="242"/>
      <c r="B211" s="243"/>
      <c r="C211" s="244"/>
      <c r="D211" s="245"/>
      <c r="E211" s="245"/>
      <c r="F211" s="245"/>
      <c r="G211" s="245"/>
      <c r="H211" s="245"/>
      <c r="I211" s="245"/>
      <c r="J211" s="246"/>
      <c r="K211" s="246"/>
      <c r="L211" s="245"/>
      <c r="M211" s="245"/>
      <c r="N211" s="245"/>
      <c r="O211" s="246"/>
      <c r="P211" s="246"/>
      <c r="Q211" s="245"/>
      <c r="R211" s="246"/>
      <c r="S211" s="246"/>
      <c r="T211" s="246"/>
      <c r="U211" s="246"/>
      <c r="V211" s="247"/>
    </row>
    <row r="212" spans="1:22">
      <c r="A212" s="242"/>
      <c r="B212" s="248"/>
      <c r="C212" s="249"/>
      <c r="D212" s="250"/>
      <c r="E212" s="250"/>
      <c r="F212" s="252"/>
      <c r="G212" s="250"/>
      <c r="H212" s="250"/>
      <c r="I212" s="250"/>
      <c r="J212" s="253"/>
      <c r="K212" s="253"/>
      <c r="L212" s="250"/>
      <c r="M212" s="250"/>
      <c r="N212" s="250"/>
      <c r="O212" s="253"/>
      <c r="P212" s="253"/>
      <c r="Q212" s="250"/>
      <c r="R212" s="253"/>
      <c r="S212" s="253"/>
      <c r="T212" s="253"/>
      <c r="U212" s="253"/>
      <c r="V212" s="247"/>
    </row>
    <row r="213" spans="1:22">
      <c r="A213" s="242"/>
      <c r="B213" s="219"/>
      <c r="C213" s="239"/>
      <c r="D213" s="240"/>
      <c r="E213" s="240"/>
      <c r="F213" s="240"/>
      <c r="G213" s="240"/>
      <c r="H213" s="240"/>
      <c r="I213" s="240"/>
      <c r="J213" s="241"/>
      <c r="K213" s="241"/>
      <c r="L213" s="240"/>
      <c r="M213" s="240"/>
      <c r="N213" s="240"/>
      <c r="O213" s="241"/>
      <c r="P213" s="241"/>
      <c r="Q213" s="240"/>
      <c r="R213" s="241"/>
      <c r="S213" s="241"/>
      <c r="T213" s="241"/>
      <c r="U213" s="241"/>
      <c r="V213" s="247"/>
    </row>
    <row r="214" spans="1:22">
      <c r="A214" s="242"/>
      <c r="B214" s="243"/>
      <c r="C214" s="244"/>
      <c r="D214" s="245"/>
      <c r="E214" s="245"/>
      <c r="F214" s="245"/>
      <c r="G214" s="245"/>
      <c r="H214" s="245"/>
      <c r="I214" s="245"/>
      <c r="J214" s="246"/>
      <c r="K214" s="246"/>
      <c r="L214" s="245"/>
      <c r="M214" s="245"/>
      <c r="N214" s="245"/>
      <c r="O214" s="246"/>
      <c r="P214" s="246"/>
      <c r="Q214" s="245"/>
      <c r="R214" s="246"/>
      <c r="S214" s="246"/>
      <c r="T214" s="246"/>
      <c r="U214" s="246"/>
      <c r="V214" s="247"/>
    </row>
    <row r="215" spans="1:22">
      <c r="A215" s="242"/>
      <c r="B215" s="248"/>
      <c r="C215" s="249"/>
      <c r="D215" s="250"/>
      <c r="E215" s="250"/>
      <c r="F215" s="250"/>
      <c r="G215" s="250"/>
      <c r="H215" s="250"/>
      <c r="I215" s="250"/>
      <c r="J215" s="253"/>
      <c r="K215" s="253"/>
      <c r="L215" s="250"/>
      <c r="M215" s="250"/>
      <c r="N215" s="250"/>
      <c r="O215" s="253"/>
      <c r="P215" s="253"/>
      <c r="Q215" s="250"/>
      <c r="R215" s="253"/>
      <c r="S215" s="253"/>
      <c r="T215" s="253"/>
      <c r="U215" s="253"/>
      <c r="V215" s="247"/>
    </row>
    <row r="216" spans="1:22">
      <c r="A216" s="242"/>
      <c r="B216" s="219"/>
      <c r="C216" s="239"/>
      <c r="D216" s="240"/>
      <c r="E216" s="240"/>
      <c r="F216" s="240"/>
      <c r="G216" s="240"/>
      <c r="H216" s="240"/>
      <c r="I216" s="240"/>
      <c r="J216" s="241"/>
      <c r="K216" s="241"/>
      <c r="L216" s="240"/>
      <c r="M216" s="240"/>
      <c r="N216" s="240"/>
      <c r="O216" s="241"/>
      <c r="P216" s="241"/>
      <c r="Q216" s="240"/>
      <c r="R216" s="241"/>
      <c r="S216" s="241"/>
      <c r="T216" s="241"/>
      <c r="U216" s="241"/>
      <c r="V216" s="247"/>
    </row>
    <row r="217" spans="1:22">
      <c r="A217" s="242"/>
      <c r="B217" s="243"/>
      <c r="C217" s="244"/>
      <c r="D217" s="245"/>
      <c r="E217" s="245"/>
      <c r="F217" s="245"/>
      <c r="G217" s="245"/>
      <c r="H217" s="245"/>
      <c r="I217" s="245"/>
      <c r="J217" s="246"/>
      <c r="K217" s="246"/>
      <c r="L217" s="245"/>
      <c r="M217" s="245"/>
      <c r="N217" s="245"/>
      <c r="O217" s="246"/>
      <c r="P217" s="246"/>
      <c r="Q217" s="245"/>
      <c r="R217" s="246"/>
      <c r="S217" s="246"/>
      <c r="T217" s="246"/>
      <c r="U217" s="246"/>
      <c r="V217" s="247"/>
    </row>
    <row r="218" spans="1:22">
      <c r="A218" s="242"/>
      <c r="B218" s="248"/>
      <c r="C218" s="249"/>
      <c r="D218" s="250"/>
      <c r="E218" s="250"/>
      <c r="F218" s="250"/>
      <c r="G218" s="250"/>
      <c r="H218" s="250"/>
      <c r="I218" s="250"/>
      <c r="J218" s="253"/>
      <c r="K218" s="253"/>
      <c r="L218" s="250"/>
      <c r="M218" s="250"/>
      <c r="N218" s="250"/>
      <c r="O218" s="253"/>
      <c r="P218" s="253"/>
      <c r="Q218" s="250"/>
      <c r="R218" s="253"/>
      <c r="S218" s="253"/>
      <c r="T218" s="253"/>
      <c r="U218" s="253"/>
      <c r="V218" s="247"/>
    </row>
    <row r="219" spans="1:22">
      <c r="A219" s="242"/>
      <c r="B219" s="219"/>
      <c r="C219" s="239"/>
      <c r="D219" s="240"/>
      <c r="E219" s="240"/>
      <c r="F219" s="240"/>
      <c r="G219" s="240"/>
      <c r="H219" s="240"/>
      <c r="I219" s="240"/>
      <c r="J219" s="241"/>
      <c r="K219" s="241"/>
      <c r="L219" s="240"/>
      <c r="M219" s="240"/>
      <c r="N219" s="240"/>
      <c r="O219" s="241"/>
      <c r="P219" s="241"/>
      <c r="Q219" s="240"/>
      <c r="R219" s="241"/>
      <c r="S219" s="241"/>
      <c r="T219" s="241"/>
      <c r="U219" s="241"/>
      <c r="V219" s="247"/>
    </row>
    <row r="220" spans="1:22">
      <c r="A220" s="242"/>
      <c r="B220" s="243"/>
      <c r="C220" s="244"/>
      <c r="D220" s="245"/>
      <c r="E220" s="245"/>
      <c r="F220" s="245"/>
      <c r="G220" s="245"/>
      <c r="H220" s="245"/>
      <c r="I220" s="245"/>
      <c r="J220" s="246"/>
      <c r="K220" s="246"/>
      <c r="L220" s="245"/>
      <c r="M220" s="245"/>
      <c r="N220" s="245"/>
      <c r="O220" s="246"/>
      <c r="P220" s="246"/>
      <c r="Q220" s="245"/>
      <c r="R220" s="246"/>
      <c r="S220" s="246"/>
      <c r="T220" s="246"/>
      <c r="U220" s="246"/>
      <c r="V220" s="247"/>
    </row>
    <row r="221" spans="1:22" ht="15.75" thickBot="1">
      <c r="A221" s="261"/>
      <c r="B221" s="262"/>
      <c r="C221" s="263"/>
      <c r="D221" s="264"/>
      <c r="E221" s="264"/>
      <c r="F221" s="264"/>
      <c r="G221" s="264"/>
      <c r="H221" s="264"/>
      <c r="I221" s="264"/>
      <c r="J221" s="265"/>
      <c r="K221" s="265"/>
      <c r="L221" s="264"/>
      <c r="M221" s="264"/>
      <c r="N221" s="264"/>
      <c r="O221" s="265"/>
      <c r="P221" s="265"/>
      <c r="Q221" s="264"/>
      <c r="R221" s="265"/>
      <c r="S221" s="265"/>
      <c r="T221" s="265"/>
      <c r="U221" s="265"/>
      <c r="V221" s="247"/>
    </row>
    <row r="222" spans="1:22">
      <c r="A222" s="238"/>
      <c r="B222" s="219"/>
      <c r="C222" s="239"/>
      <c r="D222" s="240"/>
      <c r="E222" s="240"/>
      <c r="F222" s="240"/>
      <c r="G222" s="240"/>
      <c r="H222" s="240"/>
      <c r="I222" s="240"/>
      <c r="J222" s="241"/>
      <c r="K222" s="241"/>
      <c r="L222" s="240"/>
      <c r="M222" s="240"/>
      <c r="N222" s="240"/>
      <c r="O222" s="241"/>
      <c r="P222" s="241"/>
      <c r="Q222" s="240"/>
      <c r="R222" s="241"/>
      <c r="S222" s="241"/>
      <c r="T222" s="241"/>
      <c r="U222" s="241"/>
      <c r="V222" s="247"/>
    </row>
    <row r="223" spans="1:22">
      <c r="A223" s="242"/>
      <c r="B223" s="243"/>
      <c r="C223" s="244"/>
      <c r="D223" s="245"/>
      <c r="E223" s="245"/>
      <c r="F223" s="245"/>
      <c r="G223" s="245"/>
      <c r="H223" s="245"/>
      <c r="I223" s="245"/>
      <c r="J223" s="246"/>
      <c r="K223" s="246"/>
      <c r="L223" s="245"/>
      <c r="M223" s="245"/>
      <c r="N223" s="245"/>
      <c r="O223" s="246"/>
      <c r="P223" s="246"/>
      <c r="Q223" s="245"/>
      <c r="R223" s="246"/>
      <c r="S223" s="246"/>
      <c r="T223" s="246"/>
      <c r="U223" s="246"/>
      <c r="V223" s="247"/>
    </row>
    <row r="224" spans="1:22">
      <c r="A224" s="242"/>
      <c r="B224" s="248"/>
      <c r="C224" s="249"/>
      <c r="D224" s="250"/>
      <c r="E224" s="250"/>
      <c r="F224" s="250"/>
      <c r="G224" s="250"/>
      <c r="H224" s="250"/>
      <c r="I224" s="250"/>
      <c r="J224" s="253"/>
      <c r="K224" s="253"/>
      <c r="L224" s="250"/>
      <c r="M224" s="250"/>
      <c r="N224" s="250"/>
      <c r="O224" s="253"/>
      <c r="P224" s="253"/>
      <c r="Q224" s="250"/>
      <c r="R224" s="253"/>
      <c r="S224" s="253"/>
      <c r="T224" s="253"/>
      <c r="U224" s="253"/>
      <c r="V224" s="247"/>
    </row>
    <row r="225" spans="1:22">
      <c r="A225" s="242"/>
      <c r="B225" s="219"/>
      <c r="C225" s="239"/>
      <c r="D225" s="240"/>
      <c r="E225" s="240"/>
      <c r="F225" s="240"/>
      <c r="G225" s="240"/>
      <c r="H225" s="240"/>
      <c r="I225" s="240"/>
      <c r="J225" s="241"/>
      <c r="K225" s="241"/>
      <c r="L225" s="240"/>
      <c r="M225" s="240"/>
      <c r="N225" s="240"/>
      <c r="O225" s="241"/>
      <c r="P225" s="241"/>
      <c r="Q225" s="240"/>
      <c r="R225" s="241"/>
      <c r="S225" s="241"/>
      <c r="T225" s="241"/>
      <c r="U225" s="241"/>
      <c r="V225" s="247"/>
    </row>
    <row r="226" spans="1:22">
      <c r="A226" s="242"/>
      <c r="B226" s="243"/>
      <c r="C226" s="244"/>
      <c r="D226" s="245"/>
      <c r="E226" s="245"/>
      <c r="F226" s="245"/>
      <c r="G226" s="245"/>
      <c r="H226" s="245"/>
      <c r="I226" s="245"/>
      <c r="J226" s="246"/>
      <c r="K226" s="246"/>
      <c r="L226" s="245"/>
      <c r="M226" s="245"/>
      <c r="N226" s="245"/>
      <c r="O226" s="246"/>
      <c r="P226" s="246"/>
      <c r="Q226" s="245"/>
      <c r="R226" s="246"/>
      <c r="S226" s="246"/>
      <c r="T226" s="246"/>
      <c r="U226" s="246"/>
      <c r="V226" s="247"/>
    </row>
    <row r="227" spans="1:22">
      <c r="A227" s="242"/>
      <c r="B227" s="248"/>
      <c r="C227" s="249"/>
      <c r="D227" s="250"/>
      <c r="E227" s="250"/>
      <c r="F227" s="250"/>
      <c r="G227" s="250"/>
      <c r="H227" s="250"/>
      <c r="I227" s="250"/>
      <c r="J227" s="253"/>
      <c r="K227" s="253"/>
      <c r="L227" s="250"/>
      <c r="M227" s="250"/>
      <c r="N227" s="250"/>
      <c r="O227" s="253"/>
      <c r="P227" s="253"/>
      <c r="Q227" s="250"/>
      <c r="R227" s="253"/>
      <c r="S227" s="253"/>
      <c r="T227" s="253"/>
      <c r="U227" s="253"/>
      <c r="V227" s="247"/>
    </row>
    <row r="228" spans="1:22">
      <c r="A228" s="242"/>
      <c r="B228" s="219"/>
      <c r="C228" s="239"/>
      <c r="D228" s="240"/>
      <c r="E228" s="240"/>
      <c r="F228" s="240"/>
      <c r="G228" s="240"/>
      <c r="H228" s="240"/>
      <c r="I228" s="240"/>
      <c r="J228" s="241"/>
      <c r="K228" s="241"/>
      <c r="L228" s="240"/>
      <c r="M228" s="240"/>
      <c r="N228" s="240"/>
      <c r="O228" s="241"/>
      <c r="P228" s="241"/>
      <c r="Q228" s="240"/>
      <c r="R228" s="241"/>
      <c r="S228" s="241"/>
      <c r="T228" s="241"/>
      <c r="U228" s="241"/>
      <c r="V228" s="247"/>
    </row>
    <row r="229" spans="1:22">
      <c r="A229" s="242"/>
      <c r="B229" s="243"/>
      <c r="C229" s="244"/>
      <c r="D229" s="245"/>
      <c r="E229" s="245"/>
      <c r="F229" s="245"/>
      <c r="G229" s="245"/>
      <c r="H229" s="245"/>
      <c r="I229" s="245"/>
      <c r="J229" s="246"/>
      <c r="K229" s="246"/>
      <c r="L229" s="245"/>
      <c r="M229" s="245"/>
      <c r="N229" s="245"/>
      <c r="O229" s="246"/>
      <c r="P229" s="246"/>
      <c r="Q229" s="245"/>
      <c r="R229" s="246"/>
      <c r="S229" s="246"/>
      <c r="T229" s="246"/>
      <c r="U229" s="246"/>
      <c r="V229" s="247"/>
    </row>
    <row r="230" spans="1:22">
      <c r="A230" s="242"/>
      <c r="B230" s="248"/>
      <c r="C230" s="249"/>
      <c r="D230" s="250"/>
      <c r="E230" s="250"/>
      <c r="F230" s="250"/>
      <c r="G230" s="250"/>
      <c r="H230" s="250"/>
      <c r="I230" s="250"/>
      <c r="J230" s="253"/>
      <c r="K230" s="253"/>
      <c r="L230" s="250"/>
      <c r="M230" s="250"/>
      <c r="N230" s="250"/>
      <c r="O230" s="253"/>
      <c r="P230" s="253"/>
      <c r="Q230" s="250"/>
      <c r="R230" s="253"/>
      <c r="S230" s="253"/>
      <c r="T230" s="253"/>
      <c r="U230" s="253"/>
      <c r="V230" s="247"/>
    </row>
    <row r="231" spans="1:22">
      <c r="A231" s="242"/>
      <c r="B231" s="219"/>
      <c r="C231" s="239"/>
      <c r="D231" s="240"/>
      <c r="E231" s="240"/>
      <c r="F231" s="240"/>
      <c r="G231" s="240"/>
      <c r="H231" s="240"/>
      <c r="I231" s="240"/>
      <c r="J231" s="241"/>
      <c r="K231" s="241"/>
      <c r="L231" s="240"/>
      <c r="M231" s="240"/>
      <c r="N231" s="240"/>
      <c r="O231" s="241"/>
      <c r="P231" s="241"/>
      <c r="Q231" s="240"/>
      <c r="R231" s="241"/>
      <c r="S231" s="241"/>
      <c r="T231" s="241"/>
      <c r="U231" s="241"/>
      <c r="V231" s="247"/>
    </row>
    <row r="232" spans="1:22">
      <c r="A232" s="242"/>
      <c r="B232" s="243"/>
      <c r="C232" s="244"/>
      <c r="D232" s="245"/>
      <c r="E232" s="245"/>
      <c r="F232" s="245"/>
      <c r="G232" s="245"/>
      <c r="H232" s="245"/>
      <c r="I232" s="245"/>
      <c r="J232" s="246"/>
      <c r="K232" s="246"/>
      <c r="L232" s="245"/>
      <c r="M232" s="245"/>
      <c r="N232" s="245"/>
      <c r="O232" s="246"/>
      <c r="P232" s="246"/>
      <c r="Q232" s="245"/>
      <c r="R232" s="246"/>
      <c r="S232" s="246"/>
      <c r="T232" s="246"/>
      <c r="U232" s="246"/>
      <c r="V232" s="247"/>
    </row>
    <row r="233" spans="1:22">
      <c r="A233" s="242"/>
      <c r="B233" s="248"/>
      <c r="C233" s="249"/>
      <c r="D233" s="250"/>
      <c r="E233" s="250"/>
      <c r="F233" s="250"/>
      <c r="G233" s="250"/>
      <c r="H233" s="250"/>
      <c r="I233" s="250"/>
      <c r="J233" s="253"/>
      <c r="K233" s="253"/>
      <c r="L233" s="250"/>
      <c r="M233" s="250"/>
      <c r="N233" s="250"/>
      <c r="O233" s="253"/>
      <c r="P233" s="253"/>
      <c r="Q233" s="250"/>
      <c r="R233" s="253"/>
      <c r="S233" s="253"/>
      <c r="T233" s="253"/>
      <c r="U233" s="253"/>
      <c r="V233" s="247"/>
    </row>
    <row r="234" spans="1:22">
      <c r="A234" s="242"/>
      <c r="B234" s="219"/>
      <c r="C234" s="239"/>
      <c r="D234" s="240"/>
      <c r="E234" s="240"/>
      <c r="F234" s="240"/>
      <c r="G234" s="240"/>
      <c r="H234" s="240"/>
      <c r="I234" s="240"/>
      <c r="J234" s="241"/>
      <c r="K234" s="241"/>
      <c r="L234" s="240"/>
      <c r="M234" s="240"/>
      <c r="N234" s="240"/>
      <c r="O234" s="241"/>
      <c r="P234" s="241"/>
      <c r="Q234" s="240"/>
      <c r="R234" s="241"/>
      <c r="S234" s="241"/>
      <c r="T234" s="241"/>
      <c r="U234" s="241"/>
      <c r="V234" s="247"/>
    </row>
    <row r="235" spans="1:22">
      <c r="A235" s="242"/>
      <c r="B235" s="243"/>
      <c r="C235" s="244"/>
      <c r="D235" s="245"/>
      <c r="E235" s="245"/>
      <c r="F235" s="245"/>
      <c r="G235" s="245"/>
      <c r="H235" s="245"/>
      <c r="I235" s="245"/>
      <c r="J235" s="246"/>
      <c r="K235" s="246"/>
      <c r="L235" s="245"/>
      <c r="M235" s="245"/>
      <c r="N235" s="245"/>
      <c r="O235" s="246"/>
      <c r="P235" s="246"/>
      <c r="Q235" s="245"/>
      <c r="R235" s="246"/>
      <c r="S235" s="246"/>
      <c r="T235" s="246"/>
      <c r="U235" s="246"/>
      <c r="V235" s="247"/>
    </row>
    <row r="236" spans="1:22">
      <c r="A236" s="242"/>
      <c r="B236" s="248"/>
      <c r="C236" s="249"/>
      <c r="D236" s="250"/>
      <c r="E236" s="250"/>
      <c r="F236" s="250"/>
      <c r="G236" s="250"/>
      <c r="H236" s="250"/>
      <c r="I236" s="250"/>
      <c r="J236" s="253"/>
      <c r="K236" s="253"/>
      <c r="L236" s="250"/>
      <c r="M236" s="250"/>
      <c r="N236" s="250"/>
      <c r="O236" s="253"/>
      <c r="P236" s="253"/>
      <c r="Q236" s="250"/>
      <c r="R236" s="253"/>
      <c r="S236" s="253"/>
      <c r="T236" s="253"/>
      <c r="U236" s="253"/>
      <c r="V236" s="247"/>
    </row>
    <row r="237" spans="1:22">
      <c r="A237" s="242"/>
      <c r="B237" s="219"/>
      <c r="C237" s="239"/>
      <c r="D237" s="240"/>
      <c r="E237" s="240"/>
      <c r="F237" s="240"/>
      <c r="G237" s="240"/>
      <c r="H237" s="240"/>
      <c r="I237" s="240"/>
      <c r="J237" s="241"/>
      <c r="K237" s="241"/>
      <c r="L237" s="240"/>
      <c r="M237" s="240"/>
      <c r="N237" s="240"/>
      <c r="O237" s="241"/>
      <c r="P237" s="241"/>
      <c r="Q237" s="240"/>
      <c r="R237" s="241"/>
      <c r="S237" s="241"/>
      <c r="T237" s="241"/>
      <c r="U237" s="241"/>
      <c r="V237" s="247"/>
    </row>
    <row r="238" spans="1:22">
      <c r="A238" s="242"/>
      <c r="B238" s="243"/>
      <c r="C238" s="244"/>
      <c r="D238" s="245"/>
      <c r="E238" s="245"/>
      <c r="F238" s="245"/>
      <c r="G238" s="245"/>
      <c r="H238" s="245"/>
      <c r="I238" s="245"/>
      <c r="J238" s="246"/>
      <c r="K238" s="246"/>
      <c r="L238" s="245"/>
      <c r="M238" s="245"/>
      <c r="N238" s="245"/>
      <c r="O238" s="246"/>
      <c r="P238" s="246"/>
      <c r="Q238" s="245"/>
      <c r="R238" s="246"/>
      <c r="S238" s="246"/>
      <c r="T238" s="246"/>
      <c r="U238" s="246"/>
      <c r="V238" s="247"/>
    </row>
    <row r="239" spans="1:22" ht="15.75" thickBot="1">
      <c r="A239" s="242"/>
      <c r="B239" s="257"/>
      <c r="C239" s="258"/>
      <c r="D239" s="259"/>
      <c r="E239" s="259"/>
      <c r="F239" s="259"/>
      <c r="G239" s="259"/>
      <c r="H239" s="259"/>
      <c r="I239" s="259"/>
      <c r="J239" s="260"/>
      <c r="K239" s="260"/>
      <c r="L239" s="259"/>
      <c r="M239" s="259"/>
      <c r="N239" s="259"/>
      <c r="O239" s="260"/>
      <c r="P239" s="260"/>
      <c r="Q239" s="259"/>
      <c r="R239" s="260"/>
      <c r="S239" s="260"/>
      <c r="T239" s="260"/>
      <c r="U239" s="260"/>
      <c r="V239" s="247"/>
    </row>
    <row r="240" spans="1:22" ht="15.75" thickTop="1">
      <c r="A240" s="242"/>
      <c r="B240" s="243"/>
      <c r="C240" s="244"/>
      <c r="D240" s="245"/>
      <c r="E240" s="245"/>
      <c r="F240" s="245"/>
      <c r="G240" s="245"/>
      <c r="H240" s="245"/>
      <c r="I240" s="245"/>
      <c r="J240" s="246"/>
      <c r="K240" s="246"/>
      <c r="L240" s="245"/>
      <c r="M240" s="245"/>
      <c r="N240" s="245"/>
      <c r="O240" s="246"/>
      <c r="P240" s="246"/>
      <c r="Q240" s="245"/>
      <c r="R240" s="246"/>
      <c r="S240" s="246"/>
      <c r="T240" s="246"/>
      <c r="U240" s="246"/>
      <c r="V240" s="247"/>
    </row>
    <row r="241" spans="1:22">
      <c r="A241" s="242"/>
      <c r="B241" s="243"/>
      <c r="C241" s="244"/>
      <c r="D241" s="245"/>
      <c r="E241" s="245"/>
      <c r="F241" s="245"/>
      <c r="G241" s="245"/>
      <c r="H241" s="245"/>
      <c r="I241" s="245"/>
      <c r="J241" s="246"/>
      <c r="K241" s="246"/>
      <c r="L241" s="245"/>
      <c r="M241" s="245"/>
      <c r="N241" s="245"/>
      <c r="O241" s="246"/>
      <c r="P241" s="246"/>
      <c r="Q241" s="245"/>
      <c r="R241" s="246"/>
      <c r="S241" s="246"/>
      <c r="T241" s="246"/>
      <c r="U241" s="246"/>
      <c r="V241" s="247"/>
    </row>
    <row r="242" spans="1:22">
      <c r="A242" s="242"/>
      <c r="B242" s="248"/>
      <c r="C242" s="249"/>
      <c r="D242" s="250"/>
      <c r="E242" s="250"/>
      <c r="F242" s="250"/>
      <c r="G242" s="250"/>
      <c r="H242" s="250"/>
      <c r="I242" s="250"/>
      <c r="J242" s="253"/>
      <c r="K242" s="253"/>
      <c r="L242" s="250"/>
      <c r="M242" s="250"/>
      <c r="N242" s="250"/>
      <c r="O242" s="253"/>
      <c r="P242" s="253"/>
      <c r="Q242" s="250"/>
      <c r="R242" s="253"/>
      <c r="S242" s="253"/>
      <c r="T242" s="253"/>
      <c r="U242" s="253"/>
      <c r="V242" s="247"/>
    </row>
    <row r="243" spans="1:22">
      <c r="A243" s="242"/>
      <c r="B243" s="219"/>
      <c r="C243" s="239"/>
      <c r="D243" s="240"/>
      <c r="E243" s="240"/>
      <c r="F243" s="240"/>
      <c r="G243" s="240"/>
      <c r="H243" s="240"/>
      <c r="I243" s="240"/>
      <c r="J243" s="241"/>
      <c r="K243" s="241"/>
      <c r="L243" s="240"/>
      <c r="M243" s="240"/>
      <c r="N243" s="240"/>
      <c r="O243" s="241"/>
      <c r="P243" s="241"/>
      <c r="Q243" s="240"/>
      <c r="R243" s="241"/>
      <c r="S243" s="241"/>
      <c r="T243" s="241"/>
      <c r="U243" s="241"/>
      <c r="V243" s="247"/>
    </row>
    <row r="244" spans="1:22">
      <c r="A244" s="242"/>
      <c r="B244" s="243"/>
      <c r="C244" s="244"/>
      <c r="D244" s="245"/>
      <c r="E244" s="245"/>
      <c r="F244" s="245"/>
      <c r="G244" s="245"/>
      <c r="H244" s="245"/>
      <c r="I244" s="245"/>
      <c r="J244" s="246"/>
      <c r="K244" s="246"/>
      <c r="L244" s="245"/>
      <c r="M244" s="245"/>
      <c r="N244" s="245"/>
      <c r="O244" s="246"/>
      <c r="P244" s="246"/>
      <c r="Q244" s="245"/>
      <c r="R244" s="246"/>
      <c r="S244" s="246"/>
      <c r="T244" s="246"/>
      <c r="U244" s="246"/>
      <c r="V244" s="247"/>
    </row>
    <row r="245" spans="1:22">
      <c r="A245" s="242"/>
      <c r="B245" s="248"/>
      <c r="C245" s="249"/>
      <c r="D245" s="250"/>
      <c r="E245" s="250"/>
      <c r="F245" s="250"/>
      <c r="G245" s="250"/>
      <c r="H245" s="250"/>
      <c r="I245" s="250"/>
      <c r="J245" s="253"/>
      <c r="K245" s="253"/>
      <c r="L245" s="250"/>
      <c r="M245" s="250"/>
      <c r="N245" s="250"/>
      <c r="O245" s="253"/>
      <c r="P245" s="253"/>
      <c r="Q245" s="250"/>
      <c r="R245" s="253"/>
      <c r="S245" s="253"/>
      <c r="T245" s="253"/>
      <c r="U245" s="253"/>
      <c r="V245" s="247"/>
    </row>
    <row r="246" spans="1:22">
      <c r="A246" s="242"/>
      <c r="B246" s="219"/>
      <c r="C246" s="239"/>
      <c r="D246" s="240"/>
      <c r="E246" s="240"/>
      <c r="F246" s="240"/>
      <c r="G246" s="240"/>
      <c r="H246" s="240"/>
      <c r="I246" s="240"/>
      <c r="J246" s="241"/>
      <c r="K246" s="241"/>
      <c r="L246" s="240"/>
      <c r="M246" s="240"/>
      <c r="N246" s="240"/>
      <c r="O246" s="241"/>
      <c r="P246" s="241"/>
      <c r="Q246" s="240"/>
      <c r="R246" s="241"/>
      <c r="S246" s="241"/>
      <c r="T246" s="241"/>
      <c r="U246" s="241"/>
      <c r="V246" s="247"/>
    </row>
    <row r="247" spans="1:22">
      <c r="A247" s="242"/>
      <c r="B247" s="243"/>
      <c r="C247" s="244"/>
      <c r="D247" s="245"/>
      <c r="E247" s="245"/>
      <c r="F247" s="245"/>
      <c r="G247" s="245"/>
      <c r="H247" s="245"/>
      <c r="I247" s="245"/>
      <c r="J247" s="246"/>
      <c r="K247" s="246"/>
      <c r="L247" s="245"/>
      <c r="M247" s="245"/>
      <c r="N247" s="245"/>
      <c r="O247" s="246"/>
      <c r="P247" s="246"/>
      <c r="Q247" s="245"/>
      <c r="R247" s="246"/>
      <c r="S247" s="246"/>
      <c r="T247" s="246"/>
      <c r="U247" s="246"/>
      <c r="V247" s="247"/>
    </row>
    <row r="248" spans="1:22">
      <c r="A248" s="242"/>
      <c r="B248" s="248"/>
      <c r="C248" s="249"/>
      <c r="D248" s="250"/>
      <c r="E248" s="250"/>
      <c r="F248" s="250"/>
      <c r="G248" s="250"/>
      <c r="H248" s="250"/>
      <c r="I248" s="250"/>
      <c r="J248" s="253"/>
      <c r="K248" s="253"/>
      <c r="L248" s="250"/>
      <c r="M248" s="250"/>
      <c r="N248" s="250"/>
      <c r="O248" s="253"/>
      <c r="P248" s="253"/>
      <c r="Q248" s="250"/>
      <c r="R248" s="253"/>
      <c r="S248" s="253"/>
      <c r="T248" s="253"/>
      <c r="U248" s="253"/>
      <c r="V248" s="247"/>
    </row>
    <row r="249" spans="1:22">
      <c r="A249" s="242"/>
      <c r="B249" s="219"/>
      <c r="C249" s="239"/>
      <c r="D249" s="240"/>
      <c r="E249" s="240"/>
      <c r="F249" s="240"/>
      <c r="G249" s="240"/>
      <c r="H249" s="240"/>
      <c r="I249" s="240"/>
      <c r="J249" s="241"/>
      <c r="K249" s="241"/>
      <c r="L249" s="240"/>
      <c r="M249" s="240"/>
      <c r="N249" s="240"/>
      <c r="O249" s="241"/>
      <c r="P249" s="241"/>
      <c r="Q249" s="240"/>
      <c r="R249" s="241"/>
      <c r="S249" s="241"/>
      <c r="T249" s="241"/>
      <c r="U249" s="241"/>
      <c r="V249" s="247"/>
    </row>
    <row r="250" spans="1:22">
      <c r="A250" s="242"/>
      <c r="B250" s="243"/>
      <c r="C250" s="244"/>
      <c r="D250" s="245"/>
      <c r="E250" s="245"/>
      <c r="F250" s="245"/>
      <c r="G250" s="245"/>
      <c r="H250" s="245"/>
      <c r="I250" s="245"/>
      <c r="J250" s="246"/>
      <c r="K250" s="246"/>
      <c r="L250" s="245"/>
      <c r="M250" s="245"/>
      <c r="N250" s="245"/>
      <c r="O250" s="246"/>
      <c r="P250" s="246"/>
      <c r="Q250" s="245"/>
      <c r="R250" s="246"/>
      <c r="S250" s="246"/>
      <c r="T250" s="246"/>
      <c r="U250" s="246"/>
      <c r="V250" s="247"/>
    </row>
    <row r="251" spans="1:22">
      <c r="A251" s="242"/>
      <c r="B251" s="248"/>
      <c r="C251" s="249"/>
      <c r="D251" s="250"/>
      <c r="E251" s="250"/>
      <c r="F251" s="250"/>
      <c r="G251" s="250"/>
      <c r="H251" s="250"/>
      <c r="I251" s="250"/>
      <c r="J251" s="253"/>
      <c r="K251" s="253"/>
      <c r="L251" s="250"/>
      <c r="M251" s="250"/>
      <c r="N251" s="250"/>
      <c r="O251" s="253"/>
      <c r="P251" s="253"/>
      <c r="Q251" s="250"/>
      <c r="R251" s="253"/>
      <c r="S251" s="253"/>
      <c r="T251" s="253"/>
      <c r="U251" s="253"/>
      <c r="V251" s="247"/>
    </row>
    <row r="252" spans="1:22">
      <c r="A252" s="242"/>
      <c r="B252" s="219"/>
      <c r="C252" s="239"/>
      <c r="D252" s="240"/>
      <c r="E252" s="240"/>
      <c r="F252" s="240"/>
      <c r="G252" s="240"/>
      <c r="H252" s="240"/>
      <c r="I252" s="240"/>
      <c r="J252" s="241"/>
      <c r="K252" s="241"/>
      <c r="L252" s="240"/>
      <c r="M252" s="240"/>
      <c r="N252" s="240"/>
      <c r="O252" s="241"/>
      <c r="P252" s="241"/>
      <c r="Q252" s="240"/>
      <c r="R252" s="241"/>
      <c r="S252" s="241"/>
      <c r="T252" s="241"/>
      <c r="U252" s="241"/>
      <c r="V252" s="247"/>
    </row>
    <row r="253" spans="1:22">
      <c r="A253" s="242"/>
      <c r="B253" s="243"/>
      <c r="C253" s="244"/>
      <c r="D253" s="245"/>
      <c r="E253" s="245"/>
      <c r="F253" s="245"/>
      <c r="G253" s="245"/>
      <c r="H253" s="245"/>
      <c r="I253" s="245"/>
      <c r="J253" s="246"/>
      <c r="K253" s="246"/>
      <c r="L253" s="245"/>
      <c r="M253" s="245"/>
      <c r="N253" s="245"/>
      <c r="O253" s="246"/>
      <c r="P253" s="246"/>
      <c r="Q253" s="245"/>
      <c r="R253" s="246"/>
      <c r="S253" s="246"/>
      <c r="T253" s="246"/>
      <c r="U253" s="246"/>
      <c r="V253" s="247"/>
    </row>
    <row r="254" spans="1:22">
      <c r="A254" s="242"/>
      <c r="B254" s="248"/>
      <c r="C254" s="249"/>
      <c r="D254" s="250"/>
      <c r="E254" s="250"/>
      <c r="F254" s="250"/>
      <c r="G254" s="250"/>
      <c r="H254" s="250"/>
      <c r="I254" s="250"/>
      <c r="J254" s="253"/>
      <c r="K254" s="253"/>
      <c r="L254" s="250"/>
      <c r="M254" s="250"/>
      <c r="N254" s="250"/>
      <c r="O254" s="253"/>
      <c r="P254" s="253"/>
      <c r="Q254" s="250"/>
      <c r="R254" s="253"/>
      <c r="S254" s="253"/>
      <c r="T254" s="253"/>
      <c r="U254" s="253"/>
      <c r="V254" s="247"/>
    </row>
    <row r="255" spans="1:22">
      <c r="A255" s="242"/>
      <c r="B255" s="219"/>
      <c r="C255" s="239"/>
      <c r="D255" s="240"/>
      <c r="E255" s="240"/>
      <c r="F255" s="240"/>
      <c r="G255" s="240"/>
      <c r="H255" s="240"/>
      <c r="I255" s="240"/>
      <c r="J255" s="241"/>
      <c r="K255" s="241"/>
      <c r="L255" s="240"/>
      <c r="M255" s="240"/>
      <c r="N255" s="240"/>
      <c r="O255" s="241"/>
      <c r="P255" s="241"/>
      <c r="Q255" s="240"/>
      <c r="R255" s="241"/>
      <c r="S255" s="241"/>
      <c r="T255" s="241"/>
      <c r="U255" s="241"/>
      <c r="V255" s="247"/>
    </row>
    <row r="256" spans="1:22">
      <c r="A256" s="242"/>
      <c r="B256" s="243"/>
      <c r="C256" s="244"/>
      <c r="D256" s="245"/>
      <c r="E256" s="245"/>
      <c r="F256" s="245"/>
      <c r="G256" s="245"/>
      <c r="H256" s="245"/>
      <c r="I256" s="245"/>
      <c r="J256" s="246"/>
      <c r="K256" s="246"/>
      <c r="L256" s="245"/>
      <c r="M256" s="245"/>
      <c r="N256" s="245"/>
      <c r="O256" s="246"/>
      <c r="P256" s="246"/>
      <c r="Q256" s="245"/>
      <c r="R256" s="246"/>
      <c r="S256" s="246"/>
      <c r="T256" s="246"/>
      <c r="U256" s="246"/>
      <c r="V256" s="247"/>
    </row>
    <row r="257" spans="1:22" ht="15.75" thickBot="1">
      <c r="A257" s="261"/>
      <c r="B257" s="262"/>
      <c r="C257" s="263"/>
      <c r="D257" s="264"/>
      <c r="E257" s="264"/>
      <c r="F257" s="264"/>
      <c r="G257" s="264"/>
      <c r="H257" s="264"/>
      <c r="I257" s="264"/>
      <c r="J257" s="265"/>
      <c r="K257" s="265"/>
      <c r="L257" s="264"/>
      <c r="M257" s="264"/>
      <c r="N257" s="264"/>
      <c r="O257" s="265"/>
      <c r="P257" s="265"/>
      <c r="Q257" s="264"/>
      <c r="R257" s="265"/>
      <c r="S257" s="265"/>
      <c r="T257" s="265"/>
      <c r="U257" s="265"/>
      <c r="V257" s="247"/>
    </row>
    <row r="258" spans="1:22">
      <c r="A258" s="238"/>
      <c r="B258" s="219"/>
      <c r="C258" s="239"/>
      <c r="D258" s="240"/>
      <c r="E258" s="240"/>
      <c r="F258" s="240"/>
      <c r="G258" s="240"/>
      <c r="H258" s="240"/>
      <c r="I258" s="240"/>
      <c r="J258" s="241"/>
      <c r="K258" s="241"/>
      <c r="L258" s="240"/>
      <c r="M258" s="240"/>
      <c r="N258" s="240"/>
      <c r="O258" s="241"/>
      <c r="P258" s="241"/>
      <c r="Q258" s="240"/>
      <c r="R258" s="241"/>
      <c r="S258" s="241"/>
      <c r="T258" s="241"/>
      <c r="U258" s="241"/>
      <c r="V258" s="247"/>
    </row>
    <row r="259" spans="1:22">
      <c r="A259" s="242"/>
      <c r="B259" s="243"/>
      <c r="C259" s="244"/>
      <c r="D259" s="245"/>
      <c r="E259" s="245"/>
      <c r="F259" s="245"/>
      <c r="G259" s="245"/>
      <c r="H259" s="245"/>
      <c r="I259" s="245"/>
      <c r="J259" s="246"/>
      <c r="K259" s="246"/>
      <c r="L259" s="245"/>
      <c r="M259" s="245"/>
      <c r="N259" s="245"/>
      <c r="O259" s="246"/>
      <c r="P259" s="246"/>
      <c r="Q259" s="245"/>
      <c r="R259" s="246"/>
      <c r="S259" s="246"/>
      <c r="T259" s="246"/>
      <c r="U259" s="246"/>
      <c r="V259" s="247"/>
    </row>
    <row r="260" spans="1:22" s="270" customFormat="1">
      <c r="A260" s="242"/>
      <c r="B260" s="248"/>
      <c r="C260" s="249"/>
      <c r="D260" s="250"/>
      <c r="E260" s="250"/>
      <c r="F260" s="250"/>
      <c r="G260" s="250"/>
      <c r="H260" s="250"/>
      <c r="I260" s="250"/>
      <c r="J260" s="253"/>
      <c r="K260" s="253"/>
      <c r="L260" s="250"/>
      <c r="M260" s="250"/>
      <c r="N260" s="250"/>
      <c r="O260" s="253"/>
      <c r="P260" s="253"/>
      <c r="Q260" s="250"/>
      <c r="R260" s="253"/>
      <c r="S260" s="253"/>
      <c r="T260" s="253"/>
      <c r="U260" s="253"/>
      <c r="V260" s="247"/>
    </row>
    <row r="261" spans="1:22">
      <c r="A261" s="242"/>
      <c r="B261" s="219"/>
      <c r="C261" s="239"/>
      <c r="D261" s="240"/>
      <c r="E261" s="240"/>
      <c r="F261" s="240"/>
      <c r="G261" s="240"/>
      <c r="H261" s="240"/>
      <c r="I261" s="240"/>
      <c r="J261" s="241"/>
      <c r="K261" s="241"/>
      <c r="L261" s="240"/>
      <c r="M261" s="240"/>
      <c r="N261" s="240"/>
      <c r="O261" s="241"/>
      <c r="P261" s="241"/>
      <c r="Q261" s="240"/>
      <c r="R261" s="241"/>
      <c r="S261" s="241"/>
      <c r="T261" s="241"/>
      <c r="U261" s="241"/>
      <c r="V261" s="247"/>
    </row>
    <row r="262" spans="1:22">
      <c r="A262" s="242"/>
      <c r="B262" s="243"/>
      <c r="C262" s="244"/>
      <c r="D262" s="245"/>
      <c r="E262" s="245"/>
      <c r="F262" s="245"/>
      <c r="G262" s="245"/>
      <c r="H262" s="245"/>
      <c r="I262" s="245"/>
      <c r="J262" s="246"/>
      <c r="K262" s="246"/>
      <c r="L262" s="245"/>
      <c r="M262" s="245"/>
      <c r="N262" s="245"/>
      <c r="O262" s="246"/>
      <c r="P262" s="246"/>
      <c r="Q262" s="245"/>
      <c r="R262" s="246"/>
      <c r="S262" s="246"/>
      <c r="T262" s="246"/>
      <c r="U262" s="246"/>
      <c r="V262" s="247"/>
    </row>
    <row r="263" spans="1:22" s="270" customFormat="1">
      <c r="A263" s="242"/>
      <c r="B263" s="248"/>
      <c r="C263" s="249"/>
      <c r="D263" s="250"/>
      <c r="E263" s="250"/>
      <c r="F263" s="250"/>
      <c r="G263" s="250"/>
      <c r="H263" s="250"/>
      <c r="I263" s="250"/>
      <c r="J263" s="253"/>
      <c r="K263" s="253"/>
      <c r="L263" s="250"/>
      <c r="M263" s="250"/>
      <c r="N263" s="250"/>
      <c r="O263" s="253"/>
      <c r="P263" s="253"/>
      <c r="Q263" s="250"/>
      <c r="R263" s="253"/>
      <c r="S263" s="253"/>
      <c r="T263" s="253"/>
      <c r="U263" s="253"/>
      <c r="V263" s="247"/>
    </row>
    <row r="264" spans="1:22">
      <c r="A264" s="242"/>
      <c r="B264" s="219"/>
      <c r="C264" s="239"/>
      <c r="D264" s="240"/>
      <c r="E264" s="240"/>
      <c r="F264" s="240"/>
      <c r="G264" s="240"/>
      <c r="H264" s="240"/>
      <c r="I264" s="240"/>
      <c r="J264" s="241"/>
      <c r="K264" s="241"/>
      <c r="L264" s="240"/>
      <c r="M264" s="240"/>
      <c r="N264" s="240"/>
      <c r="O264" s="241"/>
      <c r="P264" s="241"/>
      <c r="Q264" s="240"/>
      <c r="R264" s="241"/>
      <c r="S264" s="241"/>
      <c r="T264" s="241"/>
      <c r="U264" s="241"/>
      <c r="V264" s="247"/>
    </row>
    <row r="265" spans="1:22">
      <c r="A265" s="242"/>
      <c r="B265" s="243"/>
      <c r="C265" s="244"/>
      <c r="D265" s="245"/>
      <c r="E265" s="245"/>
      <c r="F265" s="245"/>
      <c r="G265" s="245"/>
      <c r="H265" s="245"/>
      <c r="I265" s="245"/>
      <c r="J265" s="246"/>
      <c r="K265" s="246"/>
      <c r="L265" s="245"/>
      <c r="M265" s="245"/>
      <c r="N265" s="245"/>
      <c r="O265" s="246"/>
      <c r="P265" s="246"/>
      <c r="Q265" s="245"/>
      <c r="R265" s="246"/>
      <c r="S265" s="246"/>
      <c r="T265" s="246"/>
      <c r="U265" s="246"/>
      <c r="V265" s="247"/>
    </row>
    <row r="266" spans="1:22" s="270" customFormat="1">
      <c r="A266" s="242"/>
      <c r="B266" s="248"/>
      <c r="C266" s="249"/>
      <c r="D266" s="250"/>
      <c r="E266" s="250"/>
      <c r="F266" s="250"/>
      <c r="G266" s="250"/>
      <c r="H266" s="250"/>
      <c r="I266" s="250"/>
      <c r="J266" s="253"/>
      <c r="K266" s="253"/>
      <c r="L266" s="250"/>
      <c r="M266" s="250"/>
      <c r="N266" s="250"/>
      <c r="O266" s="253"/>
      <c r="P266" s="253"/>
      <c r="Q266" s="250"/>
      <c r="R266" s="253"/>
      <c r="S266" s="253"/>
      <c r="T266" s="253"/>
      <c r="U266" s="253"/>
      <c r="V266" s="247"/>
    </row>
    <row r="267" spans="1:22">
      <c r="A267" s="242"/>
      <c r="B267" s="219"/>
      <c r="C267" s="239"/>
      <c r="D267" s="240"/>
      <c r="E267" s="240"/>
      <c r="F267" s="240"/>
      <c r="G267" s="240"/>
      <c r="H267" s="240"/>
      <c r="I267" s="240"/>
      <c r="J267" s="241"/>
      <c r="K267" s="241"/>
      <c r="L267" s="240"/>
      <c r="M267" s="240"/>
      <c r="N267" s="240"/>
      <c r="O267" s="241"/>
      <c r="P267" s="241"/>
      <c r="Q267" s="240"/>
      <c r="R267" s="241"/>
      <c r="S267" s="241"/>
      <c r="T267" s="241"/>
      <c r="U267" s="241"/>
      <c r="V267" s="247"/>
    </row>
    <row r="268" spans="1:22">
      <c r="A268" s="242"/>
      <c r="B268" s="243"/>
      <c r="C268" s="244"/>
      <c r="D268" s="245"/>
      <c r="E268" s="245"/>
      <c r="F268" s="245"/>
      <c r="G268" s="245"/>
      <c r="H268" s="245"/>
      <c r="I268" s="245"/>
      <c r="J268" s="246"/>
      <c r="K268" s="246"/>
      <c r="L268" s="245"/>
      <c r="M268" s="245"/>
      <c r="N268" s="245"/>
      <c r="O268" s="246"/>
      <c r="P268" s="246"/>
      <c r="Q268" s="245"/>
      <c r="R268" s="246"/>
      <c r="S268" s="246"/>
      <c r="T268" s="246"/>
      <c r="U268" s="246"/>
      <c r="V268" s="247"/>
    </row>
    <row r="269" spans="1:22" s="270" customFormat="1">
      <c r="A269" s="242"/>
      <c r="B269" s="248"/>
      <c r="C269" s="249"/>
      <c r="D269" s="250"/>
      <c r="E269" s="250"/>
      <c r="F269" s="250"/>
      <c r="G269" s="250"/>
      <c r="H269" s="250"/>
      <c r="I269" s="250"/>
      <c r="J269" s="253"/>
      <c r="K269" s="253"/>
      <c r="L269" s="250"/>
      <c r="M269" s="250"/>
      <c r="N269" s="250"/>
      <c r="O269" s="253"/>
      <c r="P269" s="253"/>
      <c r="Q269" s="250"/>
      <c r="R269" s="253"/>
      <c r="S269" s="253"/>
      <c r="T269" s="253"/>
      <c r="U269" s="253"/>
      <c r="V269" s="247"/>
    </row>
    <row r="270" spans="1:22">
      <c r="A270" s="242"/>
      <c r="B270" s="219"/>
      <c r="C270" s="239"/>
      <c r="D270" s="240"/>
      <c r="E270" s="240"/>
      <c r="F270" s="240"/>
      <c r="G270" s="240"/>
      <c r="H270" s="240"/>
      <c r="I270" s="240"/>
      <c r="J270" s="241"/>
      <c r="K270" s="241"/>
      <c r="L270" s="240"/>
      <c r="M270" s="240"/>
      <c r="N270" s="240"/>
      <c r="O270" s="241"/>
      <c r="P270" s="241"/>
      <c r="Q270" s="240"/>
      <c r="R270" s="241"/>
      <c r="S270" s="241"/>
      <c r="T270" s="241"/>
      <c r="U270" s="241"/>
      <c r="V270" s="247"/>
    </row>
    <row r="271" spans="1:22">
      <c r="A271" s="242"/>
      <c r="B271" s="243"/>
      <c r="C271" s="244"/>
      <c r="D271" s="245"/>
      <c r="E271" s="245"/>
      <c r="F271" s="245"/>
      <c r="G271" s="245"/>
      <c r="H271" s="245"/>
      <c r="I271" s="245"/>
      <c r="J271" s="246"/>
      <c r="K271" s="246"/>
      <c r="L271" s="245"/>
      <c r="M271" s="245"/>
      <c r="N271" s="245"/>
      <c r="O271" s="246"/>
      <c r="P271" s="246"/>
      <c r="Q271" s="245"/>
      <c r="R271" s="246"/>
      <c r="S271" s="246"/>
      <c r="T271" s="246"/>
      <c r="U271" s="246"/>
      <c r="V271" s="247"/>
    </row>
    <row r="272" spans="1:22" s="270" customFormat="1">
      <c r="A272" s="242"/>
      <c r="B272" s="248"/>
      <c r="C272" s="249"/>
      <c r="D272" s="250"/>
      <c r="E272" s="250"/>
      <c r="F272" s="250"/>
      <c r="G272" s="250"/>
      <c r="H272" s="250"/>
      <c r="I272" s="250"/>
      <c r="J272" s="253"/>
      <c r="K272" s="253"/>
      <c r="L272" s="250"/>
      <c r="M272" s="250"/>
      <c r="N272" s="250"/>
      <c r="O272" s="253"/>
      <c r="P272" s="253"/>
      <c r="Q272" s="250"/>
      <c r="R272" s="253"/>
      <c r="S272" s="253"/>
      <c r="T272" s="253"/>
      <c r="U272" s="253"/>
      <c r="V272" s="247"/>
    </row>
    <row r="273" spans="1:22">
      <c r="A273" s="242"/>
      <c r="B273" s="219"/>
      <c r="C273" s="239"/>
      <c r="D273" s="240"/>
      <c r="E273" s="240"/>
      <c r="F273" s="240"/>
      <c r="G273" s="240"/>
      <c r="H273" s="240"/>
      <c r="I273" s="240"/>
      <c r="J273" s="241"/>
      <c r="K273" s="241"/>
      <c r="L273" s="240"/>
      <c r="M273" s="240"/>
      <c r="N273" s="240"/>
      <c r="O273" s="241"/>
      <c r="P273" s="241"/>
      <c r="Q273" s="240"/>
      <c r="R273" s="241"/>
      <c r="S273" s="241"/>
      <c r="T273" s="241"/>
      <c r="U273" s="241"/>
      <c r="V273" s="247"/>
    </row>
    <row r="274" spans="1:22">
      <c r="A274" s="242"/>
      <c r="B274" s="243"/>
      <c r="C274" s="244"/>
      <c r="D274" s="245"/>
      <c r="E274" s="245"/>
      <c r="F274" s="245"/>
      <c r="G274" s="245"/>
      <c r="H274" s="245"/>
      <c r="I274" s="245"/>
      <c r="J274" s="246"/>
      <c r="K274" s="246"/>
      <c r="L274" s="245"/>
      <c r="M274" s="245"/>
      <c r="N274" s="245"/>
      <c r="O274" s="246"/>
      <c r="P274" s="246"/>
      <c r="Q274" s="245"/>
      <c r="R274" s="246"/>
      <c r="S274" s="246"/>
      <c r="T274" s="246"/>
      <c r="U274" s="246"/>
      <c r="V274" s="247"/>
    </row>
    <row r="275" spans="1:22" s="270" customFormat="1" ht="15.75" thickBot="1">
      <c r="A275" s="242"/>
      <c r="B275" s="257"/>
      <c r="C275" s="258"/>
      <c r="D275" s="259"/>
      <c r="E275" s="259"/>
      <c r="F275" s="259"/>
      <c r="G275" s="259"/>
      <c r="H275" s="259"/>
      <c r="I275" s="259"/>
      <c r="J275" s="260"/>
      <c r="K275" s="260"/>
      <c r="L275" s="259"/>
      <c r="M275" s="259"/>
      <c r="N275" s="259"/>
      <c r="O275" s="260"/>
      <c r="P275" s="260"/>
      <c r="Q275" s="259"/>
      <c r="R275" s="260"/>
      <c r="S275" s="260"/>
      <c r="T275" s="260"/>
      <c r="U275" s="260"/>
      <c r="V275" s="247"/>
    </row>
    <row r="276" spans="1:22" ht="15.75" thickTop="1">
      <c r="A276" s="242"/>
      <c r="B276" s="243"/>
      <c r="C276" s="244"/>
      <c r="D276" s="245"/>
      <c r="E276" s="245"/>
      <c r="F276" s="245"/>
      <c r="G276" s="245"/>
      <c r="H276" s="245"/>
      <c r="I276" s="245"/>
      <c r="J276" s="246"/>
      <c r="K276" s="246"/>
      <c r="L276" s="245"/>
      <c r="M276" s="245"/>
      <c r="N276" s="245"/>
      <c r="O276" s="246"/>
      <c r="P276" s="246"/>
      <c r="Q276" s="245"/>
      <c r="R276" s="246"/>
      <c r="S276" s="246"/>
      <c r="T276" s="246"/>
      <c r="U276" s="246"/>
      <c r="V276" s="247"/>
    </row>
    <row r="277" spans="1:22">
      <c r="A277" s="242"/>
      <c r="B277" s="243"/>
      <c r="C277" s="244"/>
      <c r="D277" s="245"/>
      <c r="E277" s="245"/>
      <c r="F277" s="245"/>
      <c r="G277" s="245"/>
      <c r="H277" s="245"/>
      <c r="I277" s="245"/>
      <c r="J277" s="246"/>
      <c r="K277" s="246"/>
      <c r="L277" s="245"/>
      <c r="M277" s="245"/>
      <c r="N277" s="245"/>
      <c r="O277" s="246"/>
      <c r="P277" s="246"/>
      <c r="Q277" s="245"/>
      <c r="R277" s="246"/>
      <c r="S277" s="246"/>
      <c r="T277" s="246"/>
      <c r="U277" s="246"/>
      <c r="V277" s="247"/>
    </row>
    <row r="278" spans="1:22" s="270" customFormat="1">
      <c r="A278" s="242"/>
      <c r="B278" s="248"/>
      <c r="C278" s="249"/>
      <c r="D278" s="250"/>
      <c r="E278" s="250"/>
      <c r="F278" s="250"/>
      <c r="G278" s="250"/>
      <c r="H278" s="250"/>
      <c r="I278" s="250"/>
      <c r="J278" s="253"/>
      <c r="K278" s="253"/>
      <c r="L278" s="250"/>
      <c r="M278" s="250"/>
      <c r="N278" s="250"/>
      <c r="O278" s="253"/>
      <c r="P278" s="253"/>
      <c r="Q278" s="250"/>
      <c r="R278" s="253"/>
      <c r="S278" s="253"/>
      <c r="T278" s="253"/>
      <c r="U278" s="253"/>
      <c r="V278" s="247"/>
    </row>
    <row r="279" spans="1:22">
      <c r="A279" s="242"/>
      <c r="B279" s="219"/>
      <c r="C279" s="239"/>
      <c r="D279" s="240"/>
      <c r="E279" s="240"/>
      <c r="F279" s="240"/>
      <c r="G279" s="240"/>
      <c r="H279" s="240"/>
      <c r="I279" s="240"/>
      <c r="J279" s="241"/>
      <c r="K279" s="241"/>
      <c r="L279" s="240"/>
      <c r="M279" s="240"/>
      <c r="N279" s="240"/>
      <c r="O279" s="241"/>
      <c r="P279" s="241"/>
      <c r="Q279" s="240"/>
      <c r="R279" s="241"/>
      <c r="S279" s="241"/>
      <c r="T279" s="241"/>
      <c r="U279" s="241"/>
      <c r="V279" s="247"/>
    </row>
    <row r="280" spans="1:22">
      <c r="A280" s="242"/>
      <c r="B280" s="243"/>
      <c r="C280" s="244"/>
      <c r="D280" s="245"/>
      <c r="E280" s="245"/>
      <c r="F280" s="245"/>
      <c r="G280" s="245"/>
      <c r="H280" s="245"/>
      <c r="I280" s="245"/>
      <c r="J280" s="246"/>
      <c r="K280" s="246"/>
      <c r="L280" s="245"/>
      <c r="M280" s="245"/>
      <c r="N280" s="245"/>
      <c r="O280" s="246"/>
      <c r="P280" s="246"/>
      <c r="Q280" s="245"/>
      <c r="R280" s="246"/>
      <c r="S280" s="246"/>
      <c r="T280" s="246"/>
      <c r="U280" s="246"/>
      <c r="V280" s="247"/>
    </row>
    <row r="281" spans="1:22" s="270" customFormat="1">
      <c r="A281" s="242"/>
      <c r="B281" s="248"/>
      <c r="C281" s="249"/>
      <c r="D281" s="250"/>
      <c r="E281" s="250"/>
      <c r="F281" s="250"/>
      <c r="G281" s="250"/>
      <c r="H281" s="250"/>
      <c r="I281" s="250"/>
      <c r="J281" s="253"/>
      <c r="K281" s="253"/>
      <c r="L281" s="250"/>
      <c r="M281" s="250"/>
      <c r="N281" s="250"/>
      <c r="O281" s="253"/>
      <c r="P281" s="253"/>
      <c r="Q281" s="250"/>
      <c r="R281" s="253"/>
      <c r="S281" s="253"/>
      <c r="T281" s="253"/>
      <c r="U281" s="253"/>
      <c r="V281" s="247"/>
    </row>
    <row r="282" spans="1:22">
      <c r="A282" s="242"/>
      <c r="B282" s="219"/>
      <c r="C282" s="239"/>
      <c r="D282" s="240"/>
      <c r="E282" s="240"/>
      <c r="F282" s="240"/>
      <c r="G282" s="240"/>
      <c r="H282" s="240"/>
      <c r="I282" s="240"/>
      <c r="J282" s="241"/>
      <c r="K282" s="241"/>
      <c r="L282" s="240"/>
      <c r="M282" s="240"/>
      <c r="N282" s="240"/>
      <c r="O282" s="241"/>
      <c r="P282" s="241"/>
      <c r="Q282" s="240"/>
      <c r="R282" s="241"/>
      <c r="S282" s="241"/>
      <c r="T282" s="241"/>
      <c r="U282" s="241"/>
      <c r="V282" s="247"/>
    </row>
    <row r="283" spans="1:22">
      <c r="A283" s="242"/>
      <c r="B283" s="243"/>
      <c r="C283" s="244"/>
      <c r="D283" s="245"/>
      <c r="E283" s="245"/>
      <c r="F283" s="245"/>
      <c r="G283" s="245"/>
      <c r="H283" s="245"/>
      <c r="I283" s="245"/>
      <c r="J283" s="246"/>
      <c r="K283" s="246"/>
      <c r="L283" s="245"/>
      <c r="M283" s="245"/>
      <c r="N283" s="245"/>
      <c r="O283" s="246"/>
      <c r="P283" s="246"/>
      <c r="Q283" s="245"/>
      <c r="R283" s="246"/>
      <c r="S283" s="246"/>
      <c r="T283" s="246"/>
      <c r="U283" s="246"/>
      <c r="V283" s="247"/>
    </row>
    <row r="284" spans="1:22" s="270" customFormat="1">
      <c r="A284" s="242"/>
      <c r="B284" s="248"/>
      <c r="C284" s="249"/>
      <c r="D284" s="250"/>
      <c r="E284" s="252"/>
      <c r="F284" s="250"/>
      <c r="G284" s="250"/>
      <c r="H284" s="250"/>
      <c r="I284" s="250"/>
      <c r="J284" s="253"/>
      <c r="K284" s="253"/>
      <c r="L284" s="250"/>
      <c r="M284" s="250"/>
      <c r="N284" s="250"/>
      <c r="O284" s="253"/>
      <c r="P284" s="253"/>
      <c r="Q284" s="250"/>
      <c r="R284" s="253"/>
      <c r="S284" s="253"/>
      <c r="T284" s="253"/>
      <c r="U284" s="253"/>
      <c r="V284" s="247"/>
    </row>
    <row r="285" spans="1:22">
      <c r="A285" s="242"/>
      <c r="B285" s="219"/>
      <c r="C285" s="239"/>
      <c r="D285" s="240"/>
      <c r="E285" s="240"/>
      <c r="F285" s="240"/>
      <c r="G285" s="240"/>
      <c r="H285" s="240"/>
      <c r="I285" s="240"/>
      <c r="J285" s="241"/>
      <c r="K285" s="241"/>
      <c r="L285" s="240"/>
      <c r="M285" s="240"/>
      <c r="N285" s="240"/>
      <c r="O285" s="241"/>
      <c r="P285" s="241"/>
      <c r="Q285" s="240"/>
      <c r="R285" s="241"/>
      <c r="S285" s="241"/>
      <c r="T285" s="241"/>
      <c r="U285" s="241"/>
      <c r="V285" s="247"/>
    </row>
    <row r="286" spans="1:22">
      <c r="A286" s="242"/>
      <c r="B286" s="243"/>
      <c r="C286" s="244"/>
      <c r="D286" s="245"/>
      <c r="E286" s="245"/>
      <c r="F286" s="245"/>
      <c r="G286" s="245"/>
      <c r="H286" s="245"/>
      <c r="I286" s="245"/>
      <c r="J286" s="246"/>
      <c r="K286" s="246"/>
      <c r="L286" s="245"/>
      <c r="M286" s="245"/>
      <c r="N286" s="245"/>
      <c r="O286" s="246"/>
      <c r="P286" s="246"/>
      <c r="Q286" s="245"/>
      <c r="R286" s="246"/>
      <c r="S286" s="246"/>
      <c r="T286" s="246"/>
      <c r="U286" s="246"/>
      <c r="V286" s="247"/>
    </row>
    <row r="287" spans="1:22" s="270" customFormat="1">
      <c r="A287" s="242"/>
      <c r="B287" s="248"/>
      <c r="C287" s="249"/>
      <c r="D287" s="250"/>
      <c r="E287" s="250"/>
      <c r="F287" s="250"/>
      <c r="G287" s="250"/>
      <c r="H287" s="250"/>
      <c r="I287" s="250"/>
      <c r="J287" s="253"/>
      <c r="K287" s="253"/>
      <c r="L287" s="250"/>
      <c r="M287" s="250"/>
      <c r="N287" s="250"/>
      <c r="O287" s="253"/>
      <c r="P287" s="253"/>
      <c r="Q287" s="250"/>
      <c r="R287" s="253"/>
      <c r="S287" s="253"/>
      <c r="T287" s="253"/>
      <c r="U287" s="253"/>
      <c r="V287" s="247"/>
    </row>
    <row r="288" spans="1:22">
      <c r="A288" s="242"/>
      <c r="B288" s="219"/>
      <c r="C288" s="239"/>
      <c r="D288" s="240"/>
      <c r="E288" s="240"/>
      <c r="F288" s="240"/>
      <c r="G288" s="240"/>
      <c r="H288" s="240"/>
      <c r="I288" s="240"/>
      <c r="J288" s="241"/>
      <c r="K288" s="241"/>
      <c r="L288" s="240"/>
      <c r="M288" s="240"/>
      <c r="N288" s="240"/>
      <c r="O288" s="241"/>
      <c r="P288" s="241"/>
      <c r="Q288" s="240"/>
      <c r="R288" s="241"/>
      <c r="S288" s="241"/>
      <c r="T288" s="241"/>
      <c r="U288" s="241"/>
      <c r="V288" s="247"/>
    </row>
    <row r="289" spans="1:22">
      <c r="A289" s="242"/>
      <c r="B289" s="243"/>
      <c r="C289" s="244"/>
      <c r="D289" s="245"/>
      <c r="E289" s="245"/>
      <c r="F289" s="245"/>
      <c r="G289" s="245"/>
      <c r="H289" s="245"/>
      <c r="I289" s="245"/>
      <c r="J289" s="246"/>
      <c r="K289" s="246"/>
      <c r="L289" s="245"/>
      <c r="M289" s="245"/>
      <c r="N289" s="245"/>
      <c r="O289" s="246"/>
      <c r="P289" s="246"/>
      <c r="Q289" s="245"/>
      <c r="R289" s="246"/>
      <c r="S289" s="246"/>
      <c r="T289" s="246"/>
      <c r="U289" s="246"/>
      <c r="V289" s="247"/>
    </row>
    <row r="290" spans="1:22" s="270" customFormat="1">
      <c r="A290" s="242"/>
      <c r="B290" s="248"/>
      <c r="C290" s="249"/>
      <c r="D290" s="250"/>
      <c r="E290" s="250"/>
      <c r="F290" s="250"/>
      <c r="G290" s="250"/>
      <c r="H290" s="250"/>
      <c r="I290" s="250"/>
      <c r="J290" s="253"/>
      <c r="K290" s="253"/>
      <c r="L290" s="250"/>
      <c r="M290" s="250"/>
      <c r="N290" s="250"/>
      <c r="O290" s="253"/>
      <c r="P290" s="253"/>
      <c r="Q290" s="250"/>
      <c r="R290" s="253"/>
      <c r="S290" s="253"/>
      <c r="T290" s="253"/>
      <c r="U290" s="253"/>
      <c r="V290" s="247"/>
    </row>
    <row r="291" spans="1:22">
      <c r="A291" s="242"/>
      <c r="B291" s="219"/>
      <c r="C291" s="239"/>
      <c r="D291" s="240"/>
      <c r="E291" s="240"/>
      <c r="F291" s="240"/>
      <c r="G291" s="240"/>
      <c r="H291" s="240"/>
      <c r="I291" s="240"/>
      <c r="J291" s="241"/>
      <c r="K291" s="241"/>
      <c r="L291" s="240"/>
      <c r="M291" s="240"/>
      <c r="N291" s="240"/>
      <c r="O291" s="241"/>
      <c r="P291" s="241"/>
      <c r="Q291" s="240"/>
      <c r="R291" s="241"/>
      <c r="S291" s="241"/>
      <c r="T291" s="241"/>
      <c r="U291" s="241"/>
      <c r="V291" s="247"/>
    </row>
    <row r="292" spans="1:22">
      <c r="A292" s="242"/>
      <c r="B292" s="243"/>
      <c r="C292" s="244"/>
      <c r="D292" s="245"/>
      <c r="E292" s="245"/>
      <c r="F292" s="245"/>
      <c r="G292" s="245"/>
      <c r="H292" s="245"/>
      <c r="I292" s="245"/>
      <c r="J292" s="246"/>
      <c r="K292" s="246"/>
      <c r="L292" s="245"/>
      <c r="M292" s="245"/>
      <c r="N292" s="245"/>
      <c r="O292" s="246"/>
      <c r="P292" s="246"/>
      <c r="Q292" s="245"/>
      <c r="R292" s="246"/>
      <c r="S292" s="246"/>
      <c r="T292" s="246"/>
      <c r="U292" s="246"/>
      <c r="V292" s="247"/>
    </row>
    <row r="293" spans="1:22" s="270" customFormat="1" ht="15.75" thickBot="1">
      <c r="A293" s="261"/>
      <c r="B293" s="262"/>
      <c r="C293" s="263"/>
      <c r="D293" s="264"/>
      <c r="E293" s="264"/>
      <c r="F293" s="264"/>
      <c r="G293" s="264"/>
      <c r="H293" s="264"/>
      <c r="I293" s="264"/>
      <c r="J293" s="265"/>
      <c r="K293" s="265"/>
      <c r="L293" s="264"/>
      <c r="M293" s="264"/>
      <c r="N293" s="264"/>
      <c r="O293" s="265"/>
      <c r="P293" s="265"/>
      <c r="Q293" s="264"/>
      <c r="R293" s="265"/>
      <c r="S293" s="265"/>
      <c r="T293" s="265"/>
      <c r="U293" s="265"/>
      <c r="V293" s="247"/>
    </row>
    <row r="294" spans="1:22">
      <c r="A294" s="238"/>
      <c r="B294" s="219"/>
      <c r="C294" s="239"/>
      <c r="D294" s="240"/>
      <c r="E294" s="240"/>
      <c r="F294" s="240"/>
      <c r="G294" s="240"/>
      <c r="H294" s="240"/>
      <c r="I294" s="240"/>
      <c r="J294" s="241"/>
      <c r="K294" s="241"/>
      <c r="L294" s="240"/>
      <c r="M294" s="240"/>
      <c r="N294" s="240"/>
      <c r="O294" s="241"/>
      <c r="P294" s="241"/>
      <c r="Q294" s="240"/>
      <c r="R294" s="241"/>
      <c r="S294" s="241"/>
      <c r="T294" s="241"/>
      <c r="U294" s="241"/>
      <c r="V294" s="247"/>
    </row>
    <row r="295" spans="1:22">
      <c r="A295" s="242"/>
      <c r="B295" s="243"/>
      <c r="C295" s="244"/>
      <c r="D295" s="245"/>
      <c r="E295" s="245"/>
      <c r="F295" s="245"/>
      <c r="G295" s="245"/>
      <c r="H295" s="245"/>
      <c r="I295" s="245"/>
      <c r="J295" s="246"/>
      <c r="K295" s="246"/>
      <c r="L295" s="245"/>
      <c r="M295" s="245"/>
      <c r="N295" s="245"/>
      <c r="O295" s="246"/>
      <c r="P295" s="246"/>
      <c r="Q295" s="245"/>
      <c r="R295" s="246"/>
      <c r="S295" s="246"/>
      <c r="T295" s="246"/>
      <c r="U295" s="246"/>
      <c r="V295" s="247"/>
    </row>
    <row r="296" spans="1:22" s="270" customFormat="1">
      <c r="A296" s="242"/>
      <c r="B296" s="248"/>
      <c r="C296" s="249"/>
      <c r="D296" s="250"/>
      <c r="E296" s="250"/>
      <c r="F296" s="250"/>
      <c r="G296" s="250"/>
      <c r="H296" s="250"/>
      <c r="I296" s="250"/>
      <c r="J296" s="253"/>
      <c r="K296" s="253"/>
      <c r="L296" s="250"/>
      <c r="M296" s="250"/>
      <c r="N296" s="250"/>
      <c r="O296" s="253"/>
      <c r="P296" s="253"/>
      <c r="Q296" s="250"/>
      <c r="R296" s="253"/>
      <c r="S296" s="253"/>
      <c r="T296" s="253"/>
      <c r="U296" s="253"/>
      <c r="V296" s="247"/>
    </row>
    <row r="297" spans="1:22">
      <c r="A297" s="242"/>
      <c r="B297" s="219"/>
      <c r="C297" s="239"/>
      <c r="D297" s="240"/>
      <c r="E297" s="240"/>
      <c r="F297" s="240"/>
      <c r="G297" s="240"/>
      <c r="H297" s="240"/>
      <c r="I297" s="240"/>
      <c r="J297" s="241"/>
      <c r="K297" s="241"/>
      <c r="L297" s="240"/>
      <c r="M297" s="240"/>
      <c r="N297" s="240"/>
      <c r="O297" s="241"/>
      <c r="P297" s="241"/>
      <c r="Q297" s="240"/>
      <c r="R297" s="241"/>
      <c r="S297" s="241"/>
      <c r="T297" s="241"/>
      <c r="U297" s="241"/>
      <c r="V297" s="247"/>
    </row>
    <row r="298" spans="1:22">
      <c r="A298" s="242"/>
      <c r="B298" s="243"/>
      <c r="C298" s="244"/>
      <c r="D298" s="245"/>
      <c r="E298" s="245"/>
      <c r="F298" s="245"/>
      <c r="G298" s="245"/>
      <c r="H298" s="245"/>
      <c r="I298" s="245"/>
      <c r="J298" s="246"/>
      <c r="K298" s="246"/>
      <c r="L298" s="245"/>
      <c r="M298" s="245"/>
      <c r="N298" s="245"/>
      <c r="O298" s="246"/>
      <c r="P298" s="246"/>
      <c r="Q298" s="245"/>
      <c r="R298" s="246"/>
      <c r="S298" s="246"/>
      <c r="T298" s="246"/>
      <c r="U298" s="246"/>
      <c r="V298" s="247"/>
    </row>
    <row r="299" spans="1:22" s="270" customFormat="1">
      <c r="A299" s="242"/>
      <c r="B299" s="248"/>
      <c r="C299" s="249"/>
      <c r="D299" s="250"/>
      <c r="E299" s="250"/>
      <c r="F299" s="250"/>
      <c r="G299" s="250"/>
      <c r="H299" s="250"/>
      <c r="I299" s="250"/>
      <c r="J299" s="253"/>
      <c r="K299" s="253"/>
      <c r="L299" s="250"/>
      <c r="M299" s="250"/>
      <c r="N299" s="250"/>
      <c r="O299" s="253"/>
      <c r="P299" s="253"/>
      <c r="Q299" s="250"/>
      <c r="R299" s="253"/>
      <c r="S299" s="253"/>
      <c r="T299" s="253"/>
      <c r="U299" s="253"/>
      <c r="V299" s="247"/>
    </row>
    <row r="300" spans="1:22">
      <c r="A300" s="242"/>
      <c r="B300" s="219"/>
      <c r="C300" s="239"/>
      <c r="D300" s="240"/>
      <c r="E300" s="240"/>
      <c r="F300" s="240"/>
      <c r="G300" s="240"/>
      <c r="H300" s="240"/>
      <c r="I300" s="240"/>
      <c r="J300" s="241"/>
      <c r="K300" s="241"/>
      <c r="L300" s="240"/>
      <c r="M300" s="240"/>
      <c r="N300" s="240"/>
      <c r="O300" s="241"/>
      <c r="P300" s="241"/>
      <c r="Q300" s="240"/>
      <c r="R300" s="241"/>
      <c r="S300" s="241"/>
      <c r="T300" s="241"/>
      <c r="U300" s="241"/>
      <c r="V300" s="247"/>
    </row>
    <row r="301" spans="1:22">
      <c r="A301" s="242"/>
      <c r="B301" s="243"/>
      <c r="C301" s="244"/>
      <c r="D301" s="245"/>
      <c r="E301" s="245"/>
      <c r="F301" s="245"/>
      <c r="G301" s="245"/>
      <c r="H301" s="245"/>
      <c r="I301" s="245"/>
      <c r="J301" s="246"/>
      <c r="K301" s="246"/>
      <c r="L301" s="245"/>
      <c r="M301" s="245"/>
      <c r="N301" s="245"/>
      <c r="O301" s="246"/>
      <c r="P301" s="246"/>
      <c r="Q301" s="245"/>
      <c r="R301" s="246"/>
      <c r="S301" s="246"/>
      <c r="T301" s="246"/>
      <c r="U301" s="246"/>
      <c r="V301" s="247"/>
    </row>
    <row r="302" spans="1:22" s="270" customFormat="1">
      <c r="A302" s="242"/>
      <c r="B302" s="248"/>
      <c r="C302" s="249"/>
      <c r="D302" s="250"/>
      <c r="E302" s="250"/>
      <c r="F302" s="250"/>
      <c r="G302" s="250"/>
      <c r="H302" s="250"/>
      <c r="I302" s="250"/>
      <c r="J302" s="253"/>
      <c r="K302" s="253"/>
      <c r="L302" s="250"/>
      <c r="M302" s="250"/>
      <c r="N302" s="250"/>
      <c r="O302" s="253"/>
      <c r="P302" s="253"/>
      <c r="Q302" s="250"/>
      <c r="R302" s="253"/>
      <c r="S302" s="253"/>
      <c r="T302" s="253"/>
      <c r="U302" s="253"/>
      <c r="V302" s="247"/>
    </row>
    <row r="303" spans="1:22">
      <c r="A303" s="242"/>
      <c r="B303" s="219"/>
      <c r="C303" s="239"/>
      <c r="D303" s="240"/>
      <c r="E303" s="240"/>
      <c r="F303" s="240"/>
      <c r="G303" s="240"/>
      <c r="H303" s="240"/>
      <c r="I303" s="240"/>
      <c r="J303" s="241"/>
      <c r="K303" s="241"/>
      <c r="L303" s="240"/>
      <c r="M303" s="240"/>
      <c r="N303" s="240"/>
      <c r="O303" s="241"/>
      <c r="P303" s="241"/>
      <c r="Q303" s="240"/>
      <c r="R303" s="241"/>
      <c r="S303" s="241"/>
      <c r="T303" s="241"/>
      <c r="U303" s="241"/>
      <c r="V303" s="247"/>
    </row>
    <row r="304" spans="1:22">
      <c r="A304" s="242"/>
      <c r="B304" s="243"/>
      <c r="C304" s="244"/>
      <c r="D304" s="245"/>
      <c r="E304" s="245"/>
      <c r="F304" s="245"/>
      <c r="G304" s="245"/>
      <c r="H304" s="245"/>
      <c r="I304" s="245"/>
      <c r="J304" s="246"/>
      <c r="K304" s="246"/>
      <c r="L304" s="245"/>
      <c r="M304" s="245"/>
      <c r="N304" s="245"/>
      <c r="O304" s="246"/>
      <c r="P304" s="246"/>
      <c r="Q304" s="245"/>
      <c r="R304" s="246"/>
      <c r="S304" s="246"/>
      <c r="T304" s="246"/>
      <c r="U304" s="246"/>
      <c r="V304" s="247"/>
    </row>
    <row r="305" spans="1:22" s="270" customFormat="1">
      <c r="A305" s="242"/>
      <c r="B305" s="248"/>
      <c r="C305" s="249"/>
      <c r="D305" s="250"/>
      <c r="E305" s="250"/>
      <c r="F305" s="250"/>
      <c r="G305" s="250"/>
      <c r="H305" s="250"/>
      <c r="I305" s="250"/>
      <c r="J305" s="253"/>
      <c r="K305" s="253"/>
      <c r="L305" s="250"/>
      <c r="M305" s="250"/>
      <c r="N305" s="250"/>
      <c r="O305" s="253"/>
      <c r="P305" s="253"/>
      <c r="Q305" s="250"/>
      <c r="R305" s="253"/>
      <c r="S305" s="253"/>
      <c r="T305" s="253"/>
      <c r="U305" s="253"/>
      <c r="V305" s="247"/>
    </row>
    <row r="306" spans="1:22">
      <c r="A306" s="242"/>
      <c r="B306" s="219"/>
      <c r="C306" s="239"/>
      <c r="D306" s="240"/>
      <c r="E306" s="240"/>
      <c r="F306" s="240"/>
      <c r="G306" s="240"/>
      <c r="H306" s="240"/>
      <c r="I306" s="240"/>
      <c r="J306" s="241"/>
      <c r="K306" s="241"/>
      <c r="L306" s="240"/>
      <c r="M306" s="240"/>
      <c r="N306" s="240"/>
      <c r="O306" s="241"/>
      <c r="P306" s="241"/>
      <c r="Q306" s="240"/>
      <c r="R306" s="241"/>
      <c r="S306" s="241"/>
      <c r="T306" s="241"/>
      <c r="U306" s="241"/>
      <c r="V306" s="247"/>
    </row>
    <row r="307" spans="1:22">
      <c r="A307" s="242"/>
      <c r="B307" s="243"/>
      <c r="C307" s="244"/>
      <c r="D307" s="245"/>
      <c r="E307" s="245"/>
      <c r="F307" s="245"/>
      <c r="G307" s="245"/>
      <c r="H307" s="245"/>
      <c r="I307" s="245"/>
      <c r="J307" s="246"/>
      <c r="K307" s="246"/>
      <c r="L307" s="245"/>
      <c r="M307" s="245"/>
      <c r="N307" s="245"/>
      <c r="O307" s="246"/>
      <c r="P307" s="246"/>
      <c r="Q307" s="245"/>
      <c r="R307" s="246"/>
      <c r="S307" s="246"/>
      <c r="T307" s="246"/>
      <c r="U307" s="246"/>
      <c r="V307" s="247"/>
    </row>
    <row r="308" spans="1:22" s="270" customFormat="1">
      <c r="A308" s="242"/>
      <c r="B308" s="248"/>
      <c r="C308" s="249"/>
      <c r="D308" s="250"/>
      <c r="E308" s="250"/>
      <c r="F308" s="250"/>
      <c r="G308" s="250"/>
      <c r="H308" s="250"/>
      <c r="I308" s="250"/>
      <c r="J308" s="253"/>
      <c r="K308" s="253"/>
      <c r="L308" s="250"/>
      <c r="M308" s="250"/>
      <c r="N308" s="250"/>
      <c r="O308" s="253"/>
      <c r="P308" s="253"/>
      <c r="Q308" s="250"/>
      <c r="R308" s="253"/>
      <c r="S308" s="253"/>
      <c r="T308" s="253"/>
      <c r="U308" s="253"/>
      <c r="V308" s="247"/>
    </row>
    <row r="309" spans="1:22">
      <c r="A309" s="242"/>
      <c r="B309" s="219"/>
      <c r="C309" s="239"/>
      <c r="D309" s="240"/>
      <c r="E309" s="240"/>
      <c r="F309" s="240"/>
      <c r="G309" s="240"/>
      <c r="H309" s="240"/>
      <c r="I309" s="240"/>
      <c r="J309" s="241"/>
      <c r="K309" s="241"/>
      <c r="L309" s="240"/>
      <c r="M309" s="240"/>
      <c r="N309" s="240"/>
      <c r="O309" s="241"/>
      <c r="P309" s="241"/>
      <c r="Q309" s="240"/>
      <c r="R309" s="241"/>
      <c r="S309" s="241"/>
      <c r="T309" s="241"/>
      <c r="U309" s="241"/>
      <c r="V309" s="247"/>
    </row>
    <row r="310" spans="1:22">
      <c r="A310" s="242"/>
      <c r="B310" s="243"/>
      <c r="C310" s="244"/>
      <c r="D310" s="245"/>
      <c r="E310" s="245"/>
      <c r="F310" s="245"/>
      <c r="G310" s="245"/>
      <c r="H310" s="245"/>
      <c r="I310" s="245"/>
      <c r="J310" s="246"/>
      <c r="K310" s="246"/>
      <c r="L310" s="245"/>
      <c r="M310" s="245"/>
      <c r="N310" s="245"/>
      <c r="O310" s="246"/>
      <c r="P310" s="246"/>
      <c r="Q310" s="245"/>
      <c r="R310" s="246"/>
      <c r="S310" s="246"/>
      <c r="T310" s="246"/>
      <c r="U310" s="246"/>
      <c r="V310" s="247"/>
    </row>
    <row r="311" spans="1:22" s="270" customFormat="1" ht="15.75" thickBot="1">
      <c r="A311" s="242"/>
      <c r="B311" s="257"/>
      <c r="C311" s="258"/>
      <c r="D311" s="259"/>
      <c r="E311" s="259"/>
      <c r="F311" s="259"/>
      <c r="G311" s="259"/>
      <c r="H311" s="259"/>
      <c r="I311" s="259"/>
      <c r="J311" s="260"/>
      <c r="K311" s="260"/>
      <c r="L311" s="259"/>
      <c r="M311" s="259"/>
      <c r="N311" s="259"/>
      <c r="O311" s="260"/>
      <c r="P311" s="260"/>
      <c r="Q311" s="259"/>
      <c r="R311" s="260"/>
      <c r="S311" s="260"/>
      <c r="T311" s="260"/>
      <c r="U311" s="260"/>
      <c r="V311" s="247"/>
    </row>
    <row r="312" spans="1:22" ht="15.75" thickTop="1">
      <c r="A312" s="242"/>
      <c r="B312" s="243"/>
      <c r="C312" s="244"/>
      <c r="D312" s="245"/>
      <c r="E312" s="245"/>
      <c r="F312" s="245"/>
      <c r="G312" s="245"/>
      <c r="H312" s="245"/>
      <c r="I312" s="245"/>
      <c r="J312" s="246"/>
      <c r="K312" s="246"/>
      <c r="L312" s="245"/>
      <c r="M312" s="245"/>
      <c r="N312" s="245"/>
      <c r="O312" s="246"/>
      <c r="P312" s="246"/>
      <c r="Q312" s="245"/>
      <c r="R312" s="246"/>
      <c r="S312" s="246"/>
      <c r="T312" s="246"/>
      <c r="U312" s="246"/>
      <c r="V312" s="247"/>
    </row>
    <row r="313" spans="1:22">
      <c r="A313" s="242"/>
      <c r="B313" s="243"/>
      <c r="C313" s="244"/>
      <c r="D313" s="245"/>
      <c r="E313" s="245"/>
      <c r="F313" s="245"/>
      <c r="G313" s="245"/>
      <c r="H313" s="245"/>
      <c r="I313" s="245"/>
      <c r="J313" s="246"/>
      <c r="K313" s="246"/>
      <c r="L313" s="245"/>
      <c r="M313" s="245"/>
      <c r="N313" s="245"/>
      <c r="O313" s="246"/>
      <c r="P313" s="246"/>
      <c r="Q313" s="245"/>
      <c r="R313" s="246"/>
      <c r="S313" s="246"/>
      <c r="T313" s="246"/>
      <c r="U313" s="246"/>
      <c r="V313" s="247"/>
    </row>
    <row r="314" spans="1:22" s="270" customFormat="1">
      <c r="A314" s="242"/>
      <c r="B314" s="248"/>
      <c r="C314" s="249"/>
      <c r="D314" s="250"/>
      <c r="E314" s="250"/>
      <c r="F314" s="252"/>
      <c r="G314" s="252"/>
      <c r="H314" s="250"/>
      <c r="I314" s="250"/>
      <c r="J314" s="253"/>
      <c r="K314" s="253"/>
      <c r="L314" s="250"/>
      <c r="M314" s="250"/>
      <c r="N314" s="250"/>
      <c r="O314" s="253"/>
      <c r="P314" s="253"/>
      <c r="Q314" s="250"/>
      <c r="R314" s="253"/>
      <c r="S314" s="253"/>
      <c r="T314" s="253"/>
      <c r="U314" s="253"/>
      <c r="V314" s="247"/>
    </row>
    <row r="315" spans="1:22">
      <c r="A315" s="242"/>
      <c r="B315" s="219"/>
      <c r="C315" s="239"/>
      <c r="D315" s="240"/>
      <c r="E315" s="240"/>
      <c r="F315" s="240"/>
      <c r="G315" s="240"/>
      <c r="H315" s="240"/>
      <c r="I315" s="240"/>
      <c r="J315" s="241"/>
      <c r="K315" s="241"/>
      <c r="L315" s="240"/>
      <c r="M315" s="240"/>
      <c r="N315" s="240"/>
      <c r="O315" s="241"/>
      <c r="P315" s="241"/>
      <c r="Q315" s="240"/>
      <c r="R315" s="241"/>
      <c r="S315" s="241"/>
      <c r="T315" s="241"/>
      <c r="U315" s="241"/>
      <c r="V315" s="247"/>
    </row>
    <row r="316" spans="1:22">
      <c r="A316" s="242"/>
      <c r="B316" s="243"/>
      <c r="C316" s="244"/>
      <c r="D316" s="245"/>
      <c r="E316" s="245"/>
      <c r="F316" s="245"/>
      <c r="G316" s="245"/>
      <c r="H316" s="245"/>
      <c r="I316" s="245"/>
      <c r="J316" s="246"/>
      <c r="K316" s="246"/>
      <c r="L316" s="245"/>
      <c r="M316" s="245"/>
      <c r="N316" s="245"/>
      <c r="O316" s="246"/>
      <c r="P316" s="246"/>
      <c r="Q316" s="245"/>
      <c r="R316" s="246"/>
      <c r="S316" s="246"/>
      <c r="T316" s="246"/>
      <c r="U316" s="246"/>
      <c r="V316" s="247"/>
    </row>
    <row r="317" spans="1:22" s="270" customFormat="1">
      <c r="A317" s="242"/>
      <c r="B317" s="248"/>
      <c r="C317" s="249"/>
      <c r="D317" s="250"/>
      <c r="E317" s="250"/>
      <c r="F317" s="250"/>
      <c r="G317" s="250"/>
      <c r="H317" s="250"/>
      <c r="I317" s="250"/>
      <c r="J317" s="253"/>
      <c r="K317" s="253"/>
      <c r="L317" s="250"/>
      <c r="M317" s="250"/>
      <c r="N317" s="250"/>
      <c r="O317" s="253"/>
      <c r="P317" s="253"/>
      <c r="Q317" s="250"/>
      <c r="R317" s="253"/>
      <c r="S317" s="253"/>
      <c r="T317" s="253"/>
      <c r="U317" s="253"/>
      <c r="V317" s="247"/>
    </row>
    <row r="318" spans="1:22">
      <c r="A318" s="242"/>
      <c r="B318" s="219"/>
      <c r="C318" s="239"/>
      <c r="D318" s="240"/>
      <c r="E318" s="240"/>
      <c r="F318" s="240"/>
      <c r="G318" s="240"/>
      <c r="H318" s="240"/>
      <c r="I318" s="240"/>
      <c r="J318" s="241"/>
      <c r="K318" s="241"/>
      <c r="L318" s="240"/>
      <c r="M318" s="240"/>
      <c r="N318" s="240"/>
      <c r="O318" s="241"/>
      <c r="P318" s="241"/>
      <c r="Q318" s="240"/>
      <c r="R318" s="241"/>
      <c r="S318" s="241"/>
      <c r="T318" s="241"/>
      <c r="U318" s="241"/>
      <c r="V318" s="247"/>
    </row>
    <row r="319" spans="1:22">
      <c r="A319" s="242"/>
      <c r="B319" s="243"/>
      <c r="C319" s="244"/>
      <c r="D319" s="245"/>
      <c r="E319" s="245"/>
      <c r="F319" s="245"/>
      <c r="G319" s="245"/>
      <c r="H319" s="245"/>
      <c r="I319" s="245"/>
      <c r="J319" s="246"/>
      <c r="K319" s="246"/>
      <c r="L319" s="245"/>
      <c r="M319" s="245"/>
      <c r="N319" s="245"/>
      <c r="O319" s="246"/>
      <c r="P319" s="246"/>
      <c r="Q319" s="245"/>
      <c r="R319" s="246"/>
      <c r="S319" s="246"/>
      <c r="T319" s="246"/>
      <c r="U319" s="246"/>
      <c r="V319" s="247"/>
    </row>
    <row r="320" spans="1:22" s="270" customFormat="1">
      <c r="A320" s="242"/>
      <c r="B320" s="248"/>
      <c r="C320" s="249"/>
      <c r="D320" s="250"/>
      <c r="E320" s="250"/>
      <c r="F320" s="252"/>
      <c r="G320" s="250"/>
      <c r="H320" s="250"/>
      <c r="I320" s="250"/>
      <c r="J320" s="253"/>
      <c r="K320" s="253"/>
      <c r="L320" s="250"/>
      <c r="M320" s="250"/>
      <c r="N320" s="250"/>
      <c r="O320" s="253"/>
      <c r="P320" s="253"/>
      <c r="Q320" s="250"/>
      <c r="R320" s="253"/>
      <c r="S320" s="253"/>
      <c r="T320" s="253"/>
      <c r="U320" s="253"/>
      <c r="V320" s="247"/>
    </row>
    <row r="321" spans="1:22">
      <c r="A321" s="242"/>
      <c r="B321" s="219"/>
      <c r="C321" s="239"/>
      <c r="D321" s="240"/>
      <c r="E321" s="240"/>
      <c r="F321" s="240"/>
      <c r="G321" s="240"/>
      <c r="H321" s="240"/>
      <c r="I321" s="240"/>
      <c r="J321" s="241"/>
      <c r="K321" s="241"/>
      <c r="L321" s="240"/>
      <c r="M321" s="240"/>
      <c r="N321" s="240"/>
      <c r="O321" s="241"/>
      <c r="P321" s="241"/>
      <c r="Q321" s="240"/>
      <c r="R321" s="241"/>
      <c r="S321" s="241"/>
      <c r="T321" s="241"/>
      <c r="U321" s="241"/>
      <c r="V321" s="247"/>
    </row>
    <row r="322" spans="1:22">
      <c r="A322" s="242"/>
      <c r="B322" s="243"/>
      <c r="C322" s="244"/>
      <c r="D322" s="245"/>
      <c r="E322" s="245"/>
      <c r="F322" s="245"/>
      <c r="G322" s="245"/>
      <c r="H322" s="245"/>
      <c r="I322" s="245"/>
      <c r="J322" s="246"/>
      <c r="K322" s="246"/>
      <c r="L322" s="245"/>
      <c r="M322" s="245"/>
      <c r="N322" s="245"/>
      <c r="O322" s="246"/>
      <c r="P322" s="246"/>
      <c r="Q322" s="245"/>
      <c r="R322" s="246"/>
      <c r="S322" s="246"/>
      <c r="T322" s="246"/>
      <c r="U322" s="246"/>
      <c r="V322" s="247"/>
    </row>
    <row r="323" spans="1:22" s="270" customFormat="1">
      <c r="A323" s="242"/>
      <c r="B323" s="248"/>
      <c r="C323" s="249"/>
      <c r="D323" s="250"/>
      <c r="E323" s="250"/>
      <c r="F323" s="250"/>
      <c r="G323" s="250"/>
      <c r="H323" s="250"/>
      <c r="I323" s="250"/>
      <c r="J323" s="253"/>
      <c r="K323" s="253"/>
      <c r="L323" s="250"/>
      <c r="M323" s="250"/>
      <c r="N323" s="250"/>
      <c r="O323" s="253"/>
      <c r="P323" s="253"/>
      <c r="Q323" s="250"/>
      <c r="R323" s="253"/>
      <c r="S323" s="253"/>
      <c r="T323" s="253"/>
      <c r="U323" s="253"/>
      <c r="V323" s="247"/>
    </row>
    <row r="324" spans="1:22">
      <c r="A324" s="242"/>
      <c r="B324" s="219"/>
      <c r="C324" s="239"/>
      <c r="D324" s="240"/>
      <c r="E324" s="240"/>
      <c r="F324" s="240"/>
      <c r="G324" s="240"/>
      <c r="H324" s="240"/>
      <c r="I324" s="240"/>
      <c r="J324" s="241"/>
      <c r="K324" s="241"/>
      <c r="L324" s="240"/>
      <c r="M324" s="240"/>
      <c r="N324" s="240"/>
      <c r="O324" s="241"/>
      <c r="P324" s="241"/>
      <c r="Q324" s="240"/>
      <c r="R324" s="241"/>
      <c r="S324" s="241"/>
      <c r="T324" s="241"/>
      <c r="U324" s="241"/>
      <c r="V324" s="247"/>
    </row>
    <row r="325" spans="1:22">
      <c r="A325" s="242"/>
      <c r="B325" s="243"/>
      <c r="C325" s="244"/>
      <c r="D325" s="245"/>
      <c r="E325" s="245"/>
      <c r="F325" s="245"/>
      <c r="G325" s="245"/>
      <c r="H325" s="245"/>
      <c r="I325" s="245"/>
      <c r="J325" s="246"/>
      <c r="K325" s="246"/>
      <c r="L325" s="245"/>
      <c r="M325" s="245"/>
      <c r="N325" s="245"/>
      <c r="O325" s="246"/>
      <c r="P325" s="246"/>
      <c r="Q325" s="245"/>
      <c r="R325" s="246"/>
      <c r="S325" s="246"/>
      <c r="T325" s="246"/>
      <c r="U325" s="246"/>
      <c r="V325" s="247"/>
    </row>
    <row r="326" spans="1:22" s="270" customFormat="1">
      <c r="A326" s="242"/>
      <c r="B326" s="248"/>
      <c r="C326" s="249"/>
      <c r="D326" s="250"/>
      <c r="E326" s="250"/>
      <c r="F326" s="250"/>
      <c r="G326" s="250"/>
      <c r="H326" s="250"/>
      <c r="I326" s="250"/>
      <c r="J326" s="253"/>
      <c r="K326" s="253"/>
      <c r="L326" s="250"/>
      <c r="M326" s="250"/>
      <c r="N326" s="250"/>
      <c r="O326" s="253"/>
      <c r="P326" s="253"/>
      <c r="Q326" s="250"/>
      <c r="R326" s="253"/>
      <c r="S326" s="253"/>
      <c r="T326" s="253"/>
      <c r="U326" s="253"/>
      <c r="V326" s="247"/>
    </row>
    <row r="327" spans="1:22">
      <c r="A327" s="242"/>
      <c r="B327" s="219"/>
      <c r="C327" s="239"/>
      <c r="D327" s="240"/>
      <c r="E327" s="240"/>
      <c r="F327" s="240"/>
      <c r="G327" s="240"/>
      <c r="H327" s="240"/>
      <c r="I327" s="240"/>
      <c r="J327" s="241"/>
      <c r="K327" s="241"/>
      <c r="L327" s="240"/>
      <c r="M327" s="240"/>
      <c r="N327" s="240"/>
      <c r="O327" s="241"/>
      <c r="P327" s="241"/>
      <c r="Q327" s="240"/>
      <c r="R327" s="241"/>
      <c r="S327" s="241"/>
      <c r="T327" s="241"/>
      <c r="U327" s="241"/>
      <c r="V327" s="247"/>
    </row>
    <row r="328" spans="1:22">
      <c r="A328" s="242"/>
      <c r="B328" s="243"/>
      <c r="C328" s="256"/>
      <c r="D328" s="245"/>
      <c r="E328" s="245"/>
      <c r="F328" s="245"/>
      <c r="G328" s="245"/>
      <c r="H328" s="245"/>
      <c r="I328" s="245"/>
      <c r="J328" s="246"/>
      <c r="K328" s="246"/>
      <c r="L328" s="245"/>
      <c r="M328" s="245"/>
      <c r="N328" s="245"/>
      <c r="O328" s="246"/>
      <c r="P328" s="246"/>
      <c r="Q328" s="245"/>
      <c r="R328" s="246"/>
      <c r="S328" s="246"/>
      <c r="T328" s="246"/>
      <c r="U328" s="246"/>
      <c r="V328" s="247"/>
    </row>
    <row r="329" spans="1:22" s="270" customFormat="1" ht="15.75" thickBot="1">
      <c r="A329" s="261"/>
      <c r="B329" s="262"/>
      <c r="C329" s="263"/>
      <c r="D329" s="264"/>
      <c r="E329" s="264"/>
      <c r="F329" s="264"/>
      <c r="G329" s="264"/>
      <c r="H329" s="264"/>
      <c r="I329" s="264"/>
      <c r="J329" s="265"/>
      <c r="K329" s="265"/>
      <c r="L329" s="264"/>
      <c r="M329" s="264"/>
      <c r="N329" s="264"/>
      <c r="O329" s="265"/>
      <c r="P329" s="265"/>
      <c r="Q329" s="264"/>
      <c r="R329" s="265"/>
      <c r="S329" s="265"/>
      <c r="T329" s="265"/>
      <c r="U329" s="265"/>
      <c r="V329" s="247"/>
    </row>
    <row r="330" spans="1:22">
      <c r="A330" s="238"/>
      <c r="B330" s="219"/>
      <c r="C330" s="239"/>
      <c r="D330" s="240"/>
      <c r="E330" s="240"/>
      <c r="F330" s="240"/>
      <c r="G330" s="240"/>
      <c r="H330" s="240"/>
      <c r="I330" s="240"/>
      <c r="J330" s="241"/>
      <c r="K330" s="241"/>
      <c r="L330" s="240"/>
      <c r="M330" s="240"/>
      <c r="N330" s="240"/>
      <c r="O330" s="241"/>
      <c r="P330" s="241"/>
      <c r="Q330" s="240"/>
      <c r="R330" s="241"/>
      <c r="S330" s="241"/>
      <c r="T330" s="241"/>
      <c r="U330" s="241"/>
      <c r="V330" s="247"/>
    </row>
    <row r="331" spans="1:22">
      <c r="A331" s="242"/>
      <c r="B331" s="243"/>
      <c r="C331" s="244"/>
      <c r="D331" s="245"/>
      <c r="E331" s="245"/>
      <c r="F331" s="245"/>
      <c r="G331" s="245"/>
      <c r="H331" s="245"/>
      <c r="I331" s="245"/>
      <c r="J331" s="246"/>
      <c r="K331" s="246"/>
      <c r="L331" s="245"/>
      <c r="M331" s="245"/>
      <c r="N331" s="245"/>
      <c r="O331" s="246"/>
      <c r="P331" s="246"/>
      <c r="Q331" s="245"/>
      <c r="R331" s="246"/>
      <c r="S331" s="246"/>
      <c r="T331" s="246"/>
      <c r="U331" s="246"/>
      <c r="V331" s="247"/>
    </row>
    <row r="332" spans="1:22">
      <c r="A332" s="242"/>
      <c r="B332" s="248"/>
      <c r="C332" s="249"/>
      <c r="D332" s="250"/>
      <c r="E332" s="250"/>
      <c r="F332" s="252"/>
      <c r="G332" s="250"/>
      <c r="H332" s="250"/>
      <c r="I332" s="250"/>
      <c r="J332" s="253"/>
      <c r="K332" s="253"/>
      <c r="L332" s="252"/>
      <c r="M332" s="250"/>
      <c r="N332" s="250"/>
      <c r="O332" s="253"/>
      <c r="P332" s="253"/>
      <c r="Q332" s="250"/>
      <c r="R332" s="253"/>
      <c r="S332" s="253"/>
      <c r="T332" s="253"/>
      <c r="U332" s="253"/>
      <c r="V332" s="247"/>
    </row>
    <row r="333" spans="1:22">
      <c r="A333" s="242"/>
      <c r="B333" s="219"/>
      <c r="C333" s="239"/>
      <c r="D333" s="240"/>
      <c r="E333" s="240"/>
      <c r="F333" s="240"/>
      <c r="G333" s="240"/>
      <c r="H333" s="240"/>
      <c r="I333" s="240"/>
      <c r="J333" s="241"/>
      <c r="K333" s="241"/>
      <c r="L333" s="240"/>
      <c r="M333" s="240"/>
      <c r="N333" s="240"/>
      <c r="O333" s="241"/>
      <c r="P333" s="241"/>
      <c r="Q333" s="240"/>
      <c r="R333" s="241"/>
      <c r="S333" s="241"/>
      <c r="T333" s="241"/>
      <c r="U333" s="241"/>
      <c r="V333" s="247"/>
    </row>
    <row r="334" spans="1:22">
      <c r="A334" s="242"/>
      <c r="B334" s="243"/>
      <c r="C334" s="244"/>
      <c r="D334" s="245"/>
      <c r="E334" s="245"/>
      <c r="F334" s="245"/>
      <c r="G334" s="245"/>
      <c r="H334" s="245"/>
      <c r="I334" s="245"/>
      <c r="J334" s="246"/>
      <c r="K334" s="246"/>
      <c r="L334" s="245"/>
      <c r="M334" s="245"/>
      <c r="N334" s="245"/>
      <c r="O334" s="246"/>
      <c r="P334" s="246"/>
      <c r="Q334" s="245"/>
      <c r="R334" s="246"/>
      <c r="S334" s="246"/>
      <c r="T334" s="246"/>
      <c r="U334" s="246"/>
      <c r="V334" s="247"/>
    </row>
    <row r="335" spans="1:22">
      <c r="A335" s="242"/>
      <c r="B335" s="248"/>
      <c r="C335" s="249"/>
      <c r="D335" s="250"/>
      <c r="E335" s="250"/>
      <c r="F335" s="250"/>
      <c r="G335" s="250"/>
      <c r="H335" s="250"/>
      <c r="I335" s="250"/>
      <c r="J335" s="253"/>
      <c r="K335" s="253"/>
      <c r="L335" s="250"/>
      <c r="M335" s="250"/>
      <c r="N335" s="250"/>
      <c r="O335" s="253"/>
      <c r="P335" s="253"/>
      <c r="Q335" s="250"/>
      <c r="R335" s="253"/>
      <c r="S335" s="253"/>
      <c r="T335" s="253"/>
      <c r="U335" s="253"/>
      <c r="V335" s="247"/>
    </row>
    <row r="336" spans="1:22">
      <c r="A336" s="242"/>
      <c r="B336" s="219"/>
      <c r="C336" s="239"/>
      <c r="D336" s="240"/>
      <c r="E336" s="240"/>
      <c r="F336" s="240"/>
      <c r="G336" s="240"/>
      <c r="H336" s="240"/>
      <c r="I336" s="240"/>
      <c r="J336" s="241"/>
      <c r="K336" s="241"/>
      <c r="L336" s="240"/>
      <c r="M336" s="240"/>
      <c r="N336" s="240"/>
      <c r="O336" s="241"/>
      <c r="P336" s="241"/>
      <c r="Q336" s="240"/>
      <c r="R336" s="241"/>
      <c r="S336" s="241"/>
      <c r="T336" s="241"/>
      <c r="U336" s="241"/>
      <c r="V336" s="247"/>
    </row>
    <row r="337" spans="1:22">
      <c r="A337" s="242"/>
      <c r="B337" s="243"/>
      <c r="C337" s="244"/>
      <c r="D337" s="245"/>
      <c r="E337" s="245"/>
      <c r="F337" s="245"/>
      <c r="G337" s="245"/>
      <c r="H337" s="245"/>
      <c r="I337" s="245"/>
      <c r="J337" s="246"/>
      <c r="K337" s="246"/>
      <c r="L337" s="245"/>
      <c r="M337" s="245"/>
      <c r="N337" s="245"/>
      <c r="O337" s="246"/>
      <c r="P337" s="246"/>
      <c r="Q337" s="245"/>
      <c r="R337" s="246"/>
      <c r="S337" s="246"/>
      <c r="T337" s="246"/>
      <c r="U337" s="246"/>
      <c r="V337" s="247"/>
    </row>
    <row r="338" spans="1:22">
      <c r="A338" s="242"/>
      <c r="B338" s="248"/>
      <c r="C338" s="249"/>
      <c r="D338" s="250"/>
      <c r="E338" s="250"/>
      <c r="F338" s="252"/>
      <c r="G338" s="250"/>
      <c r="H338" s="250"/>
      <c r="I338" s="250"/>
      <c r="J338" s="253"/>
      <c r="K338" s="253"/>
      <c r="L338" s="252"/>
      <c r="M338" s="250"/>
      <c r="N338" s="250"/>
      <c r="O338" s="253"/>
      <c r="P338" s="253"/>
      <c r="Q338" s="250"/>
      <c r="R338" s="253"/>
      <c r="S338" s="253"/>
      <c r="T338" s="253"/>
      <c r="U338" s="253"/>
      <c r="V338" s="247"/>
    </row>
    <row r="339" spans="1:22">
      <c r="A339" s="242"/>
      <c r="B339" s="219"/>
      <c r="C339" s="239"/>
      <c r="D339" s="240"/>
      <c r="E339" s="240"/>
      <c r="F339" s="240"/>
      <c r="G339" s="240"/>
      <c r="H339" s="240"/>
      <c r="I339" s="240"/>
      <c r="J339" s="241"/>
      <c r="K339" s="241"/>
      <c r="L339" s="240"/>
      <c r="M339" s="240"/>
      <c r="N339" s="240"/>
      <c r="O339" s="241"/>
      <c r="P339" s="241"/>
      <c r="Q339" s="240"/>
      <c r="R339" s="241"/>
      <c r="S339" s="241"/>
      <c r="T339" s="241"/>
      <c r="U339" s="241"/>
      <c r="V339" s="247"/>
    </row>
    <row r="340" spans="1:22">
      <c r="A340" s="242"/>
      <c r="B340" s="243"/>
      <c r="C340" s="244"/>
      <c r="D340" s="245"/>
      <c r="E340" s="245"/>
      <c r="F340" s="245"/>
      <c r="G340" s="245"/>
      <c r="H340" s="245"/>
      <c r="I340" s="245"/>
      <c r="J340" s="246"/>
      <c r="K340" s="246"/>
      <c r="L340" s="245"/>
      <c r="M340" s="245"/>
      <c r="N340" s="245"/>
      <c r="O340" s="246"/>
      <c r="P340" s="246"/>
      <c r="Q340" s="245"/>
      <c r="R340" s="246"/>
      <c r="S340" s="246"/>
      <c r="T340" s="246"/>
      <c r="U340" s="246"/>
      <c r="V340" s="247"/>
    </row>
    <row r="341" spans="1:22">
      <c r="A341" s="242"/>
      <c r="B341" s="248"/>
      <c r="C341" s="249"/>
      <c r="D341" s="250"/>
      <c r="E341" s="250"/>
      <c r="F341" s="250"/>
      <c r="G341" s="250"/>
      <c r="H341" s="250"/>
      <c r="I341" s="250"/>
      <c r="J341" s="253"/>
      <c r="K341" s="253"/>
      <c r="L341" s="250"/>
      <c r="M341" s="250"/>
      <c r="N341" s="250"/>
      <c r="O341" s="253"/>
      <c r="P341" s="253"/>
      <c r="Q341" s="250"/>
      <c r="R341" s="253"/>
      <c r="S341" s="253"/>
      <c r="T341" s="253"/>
      <c r="U341" s="253"/>
      <c r="V341" s="247"/>
    </row>
    <row r="342" spans="1:22">
      <c r="A342" s="242"/>
      <c r="B342" s="219"/>
      <c r="C342" s="239"/>
      <c r="D342" s="240"/>
      <c r="E342" s="240"/>
      <c r="F342" s="240"/>
      <c r="G342" s="240"/>
      <c r="H342" s="240"/>
      <c r="I342" s="240"/>
      <c r="J342" s="241"/>
      <c r="K342" s="241"/>
      <c r="L342" s="240"/>
      <c r="M342" s="240"/>
      <c r="N342" s="240"/>
      <c r="O342" s="241"/>
      <c r="P342" s="241"/>
      <c r="Q342" s="240"/>
      <c r="R342" s="241"/>
      <c r="S342" s="241"/>
      <c r="T342" s="241"/>
      <c r="U342" s="241"/>
      <c r="V342" s="247"/>
    </row>
    <row r="343" spans="1:22">
      <c r="A343" s="242"/>
      <c r="B343" s="243"/>
      <c r="C343" s="244"/>
      <c r="D343" s="245"/>
      <c r="E343" s="245"/>
      <c r="F343" s="245"/>
      <c r="G343" s="245"/>
      <c r="H343" s="245"/>
      <c r="I343" s="245"/>
      <c r="J343" s="246"/>
      <c r="K343" s="246"/>
      <c r="L343" s="245"/>
      <c r="M343" s="245"/>
      <c r="N343" s="245"/>
      <c r="O343" s="246"/>
      <c r="P343" s="246"/>
      <c r="Q343" s="245"/>
      <c r="R343" s="246"/>
      <c r="S343" s="246"/>
      <c r="T343" s="246"/>
      <c r="U343" s="246"/>
      <c r="V343" s="247"/>
    </row>
    <row r="344" spans="1:22">
      <c r="A344" s="242"/>
      <c r="B344" s="248"/>
      <c r="C344" s="249"/>
      <c r="D344" s="250"/>
      <c r="E344" s="250"/>
      <c r="F344" s="250"/>
      <c r="G344" s="250"/>
      <c r="H344" s="250"/>
      <c r="I344" s="250"/>
      <c r="J344" s="253"/>
      <c r="K344" s="253"/>
      <c r="L344" s="250"/>
      <c r="M344" s="250"/>
      <c r="N344" s="250"/>
      <c r="O344" s="253"/>
      <c r="P344" s="253"/>
      <c r="Q344" s="250"/>
      <c r="R344" s="253"/>
      <c r="S344" s="253"/>
      <c r="T344" s="253"/>
      <c r="U344" s="253"/>
      <c r="V344" s="247"/>
    </row>
    <row r="345" spans="1:22">
      <c r="A345" s="242"/>
      <c r="B345" s="219"/>
      <c r="C345" s="239"/>
      <c r="D345" s="240"/>
      <c r="E345" s="240"/>
      <c r="F345" s="240"/>
      <c r="G345" s="240"/>
      <c r="H345" s="240"/>
      <c r="I345" s="240"/>
      <c r="J345" s="241"/>
      <c r="K345" s="241"/>
      <c r="L345" s="240"/>
      <c r="M345" s="240"/>
      <c r="N345" s="240"/>
      <c r="O345" s="241"/>
      <c r="P345" s="241"/>
      <c r="Q345" s="240"/>
      <c r="R345" s="241"/>
      <c r="S345" s="241"/>
      <c r="T345" s="241"/>
      <c r="U345" s="241"/>
      <c r="V345" s="247"/>
    </row>
    <row r="346" spans="1:22">
      <c r="A346" s="242"/>
      <c r="B346" s="243"/>
      <c r="C346" s="244"/>
      <c r="D346" s="245"/>
      <c r="E346" s="245"/>
      <c r="F346" s="245"/>
      <c r="G346" s="245"/>
      <c r="H346" s="245"/>
      <c r="I346" s="245"/>
      <c r="J346" s="246"/>
      <c r="K346" s="246"/>
      <c r="L346" s="245"/>
      <c r="M346" s="245"/>
      <c r="N346" s="245"/>
      <c r="O346" s="246"/>
      <c r="P346" s="246"/>
      <c r="Q346" s="245"/>
      <c r="R346" s="246"/>
      <c r="S346" s="246"/>
      <c r="T346" s="246"/>
      <c r="U346" s="246"/>
      <c r="V346" s="247"/>
    </row>
    <row r="347" spans="1:22" ht="15.75" thickBot="1">
      <c r="A347" s="242"/>
      <c r="B347" s="257"/>
      <c r="C347" s="258"/>
      <c r="D347" s="259"/>
      <c r="E347" s="259"/>
      <c r="F347" s="259"/>
      <c r="G347" s="259"/>
      <c r="H347" s="259"/>
      <c r="I347" s="259"/>
      <c r="J347" s="260"/>
      <c r="K347" s="260"/>
      <c r="L347" s="259"/>
      <c r="M347" s="259"/>
      <c r="N347" s="259"/>
      <c r="O347" s="260"/>
      <c r="P347" s="260"/>
      <c r="Q347" s="259"/>
      <c r="R347" s="260"/>
      <c r="S347" s="260"/>
      <c r="T347" s="260"/>
      <c r="U347" s="260"/>
      <c r="V347" s="247"/>
    </row>
    <row r="348" spans="1:22" ht="15.75" thickTop="1">
      <c r="A348" s="242"/>
      <c r="B348" s="243"/>
      <c r="C348" s="244"/>
      <c r="D348" s="245"/>
      <c r="E348" s="245"/>
      <c r="F348" s="245"/>
      <c r="G348" s="245"/>
      <c r="H348" s="245"/>
      <c r="I348" s="245"/>
      <c r="J348" s="246"/>
      <c r="K348" s="246"/>
      <c r="L348" s="245"/>
      <c r="M348" s="245"/>
      <c r="N348" s="245"/>
      <c r="O348" s="246"/>
      <c r="P348" s="246"/>
      <c r="Q348" s="245"/>
      <c r="R348" s="246"/>
      <c r="S348" s="246"/>
      <c r="T348" s="246"/>
      <c r="U348" s="246"/>
      <c r="V348" s="247"/>
    </row>
    <row r="349" spans="1:22">
      <c r="A349" s="242"/>
      <c r="B349" s="243"/>
      <c r="C349" s="244"/>
      <c r="D349" s="245"/>
      <c r="E349" s="245"/>
      <c r="F349" s="245"/>
      <c r="G349" s="245"/>
      <c r="H349" s="245"/>
      <c r="I349" s="245"/>
      <c r="J349" s="246"/>
      <c r="K349" s="246"/>
      <c r="L349" s="245"/>
      <c r="M349" s="245"/>
      <c r="N349" s="245"/>
      <c r="O349" s="246"/>
      <c r="P349" s="246"/>
      <c r="Q349" s="245"/>
      <c r="R349" s="246"/>
      <c r="S349" s="246"/>
      <c r="T349" s="246"/>
      <c r="U349" s="246"/>
      <c r="V349" s="247"/>
    </row>
    <row r="350" spans="1:22">
      <c r="A350" s="242"/>
      <c r="B350" s="248"/>
      <c r="C350" s="249"/>
      <c r="D350" s="250"/>
      <c r="E350" s="250"/>
      <c r="F350" s="250"/>
      <c r="G350" s="250"/>
      <c r="H350" s="250"/>
      <c r="I350" s="250"/>
      <c r="J350" s="253"/>
      <c r="K350" s="253"/>
      <c r="L350" s="250"/>
      <c r="M350" s="250"/>
      <c r="N350" s="250"/>
      <c r="O350" s="253"/>
      <c r="P350" s="253"/>
      <c r="Q350" s="250"/>
      <c r="R350" s="253"/>
      <c r="S350" s="253"/>
      <c r="T350" s="253"/>
      <c r="U350" s="253"/>
      <c r="V350" s="247"/>
    </row>
    <row r="351" spans="1:22">
      <c r="A351" s="242"/>
      <c r="B351" s="219"/>
      <c r="C351" s="239"/>
      <c r="D351" s="240"/>
      <c r="E351" s="240"/>
      <c r="F351" s="240"/>
      <c r="G351" s="240"/>
      <c r="H351" s="240"/>
      <c r="I351" s="240"/>
      <c r="J351" s="241"/>
      <c r="K351" s="241"/>
      <c r="L351" s="240"/>
      <c r="M351" s="240"/>
      <c r="N351" s="240"/>
      <c r="O351" s="241"/>
      <c r="P351" s="241"/>
      <c r="Q351" s="240"/>
      <c r="R351" s="241"/>
      <c r="S351" s="241"/>
      <c r="T351" s="241"/>
      <c r="U351" s="241"/>
      <c r="V351" s="247"/>
    </row>
    <row r="352" spans="1:22">
      <c r="A352" s="242"/>
      <c r="B352" s="243"/>
      <c r="C352" s="244"/>
      <c r="D352" s="245"/>
      <c r="E352" s="245"/>
      <c r="F352" s="245"/>
      <c r="G352" s="245"/>
      <c r="H352" s="245"/>
      <c r="I352" s="245"/>
      <c r="J352" s="246"/>
      <c r="K352" s="246"/>
      <c r="L352" s="245"/>
      <c r="M352" s="245"/>
      <c r="N352" s="245"/>
      <c r="O352" s="246"/>
      <c r="P352" s="246"/>
      <c r="Q352" s="245"/>
      <c r="R352" s="246"/>
      <c r="S352" s="246"/>
      <c r="T352" s="246"/>
      <c r="U352" s="246"/>
      <c r="V352" s="247"/>
    </row>
    <row r="353" spans="1:22">
      <c r="A353" s="242"/>
      <c r="B353" s="248"/>
      <c r="C353" s="249"/>
      <c r="D353" s="250"/>
      <c r="E353" s="250"/>
      <c r="F353" s="252"/>
      <c r="G353" s="250"/>
      <c r="H353" s="250"/>
      <c r="I353" s="250"/>
      <c r="J353" s="253"/>
      <c r="K353" s="253"/>
      <c r="L353" s="250"/>
      <c r="M353" s="250"/>
      <c r="N353" s="250"/>
      <c r="O353" s="253"/>
      <c r="P353" s="253"/>
      <c r="Q353" s="250"/>
      <c r="R353" s="253"/>
      <c r="S353" s="253"/>
      <c r="T353" s="253"/>
      <c r="U353" s="253"/>
      <c r="V353" s="247"/>
    </row>
    <row r="354" spans="1:22">
      <c r="A354" s="242"/>
      <c r="B354" s="219"/>
      <c r="C354" s="239"/>
      <c r="D354" s="240"/>
      <c r="E354" s="240"/>
      <c r="F354" s="240"/>
      <c r="G354" s="240"/>
      <c r="H354" s="240"/>
      <c r="I354" s="240"/>
      <c r="J354" s="241"/>
      <c r="K354" s="241"/>
      <c r="L354" s="240"/>
      <c r="M354" s="240"/>
      <c r="N354" s="240"/>
      <c r="O354" s="241"/>
      <c r="P354" s="241"/>
      <c r="Q354" s="240"/>
      <c r="R354" s="241"/>
      <c r="S354" s="241"/>
      <c r="T354" s="241"/>
      <c r="U354" s="241"/>
      <c r="V354" s="247"/>
    </row>
    <row r="355" spans="1:22">
      <c r="A355" s="242"/>
      <c r="B355" s="243"/>
      <c r="C355" s="244"/>
      <c r="D355" s="245"/>
      <c r="E355" s="245"/>
      <c r="F355" s="245"/>
      <c r="G355" s="245"/>
      <c r="H355" s="245"/>
      <c r="I355" s="245"/>
      <c r="J355" s="246"/>
      <c r="K355" s="246"/>
      <c r="L355" s="245"/>
      <c r="M355" s="245"/>
      <c r="N355" s="245"/>
      <c r="O355" s="246"/>
      <c r="P355" s="246"/>
      <c r="Q355" s="245"/>
      <c r="R355" s="246"/>
      <c r="S355" s="246"/>
      <c r="T355" s="246"/>
      <c r="U355" s="246"/>
      <c r="V355" s="247"/>
    </row>
    <row r="356" spans="1:22">
      <c r="A356" s="242"/>
      <c r="B356" s="248"/>
      <c r="C356" s="249"/>
      <c r="D356" s="250"/>
      <c r="E356" s="250"/>
      <c r="F356" s="252"/>
      <c r="G356" s="250"/>
      <c r="H356" s="250"/>
      <c r="I356" s="250"/>
      <c r="J356" s="253"/>
      <c r="K356" s="253"/>
      <c r="L356" s="250"/>
      <c r="M356" s="250"/>
      <c r="N356" s="250"/>
      <c r="O356" s="253"/>
      <c r="P356" s="253"/>
      <c r="Q356" s="250"/>
      <c r="R356" s="253"/>
      <c r="S356" s="253"/>
      <c r="T356" s="253"/>
      <c r="U356" s="253"/>
      <c r="V356" s="247"/>
    </row>
    <row r="357" spans="1:22">
      <c r="A357" s="242"/>
      <c r="B357" s="219"/>
      <c r="C357" s="239"/>
      <c r="D357" s="240"/>
      <c r="E357" s="240"/>
      <c r="F357" s="240"/>
      <c r="G357" s="240"/>
      <c r="H357" s="240"/>
      <c r="I357" s="240"/>
      <c r="J357" s="241"/>
      <c r="K357" s="241"/>
      <c r="L357" s="240"/>
      <c r="M357" s="240"/>
      <c r="N357" s="240"/>
      <c r="O357" s="241"/>
      <c r="P357" s="241"/>
      <c r="Q357" s="240"/>
      <c r="R357" s="241"/>
      <c r="S357" s="241"/>
      <c r="T357" s="241"/>
      <c r="U357" s="241"/>
      <c r="V357" s="247"/>
    </row>
    <row r="358" spans="1:22">
      <c r="A358" s="242"/>
      <c r="B358" s="243"/>
      <c r="C358" s="244"/>
      <c r="D358" s="245"/>
      <c r="E358" s="245"/>
      <c r="F358" s="245"/>
      <c r="G358" s="245"/>
      <c r="H358" s="245"/>
      <c r="I358" s="245"/>
      <c r="J358" s="246"/>
      <c r="K358" s="246"/>
      <c r="L358" s="245"/>
      <c r="M358" s="245"/>
      <c r="N358" s="245"/>
      <c r="O358" s="246"/>
      <c r="P358" s="246"/>
      <c r="Q358" s="245"/>
      <c r="R358" s="246"/>
      <c r="S358" s="246"/>
      <c r="T358" s="246"/>
      <c r="U358" s="246"/>
      <c r="V358" s="247"/>
    </row>
    <row r="359" spans="1:22">
      <c r="A359" s="242"/>
      <c r="B359" s="248"/>
      <c r="C359" s="249"/>
      <c r="D359" s="250"/>
      <c r="E359" s="250"/>
      <c r="F359" s="250"/>
      <c r="G359" s="250"/>
      <c r="H359" s="250"/>
      <c r="I359" s="250"/>
      <c r="J359" s="253"/>
      <c r="K359" s="253"/>
      <c r="L359" s="250"/>
      <c r="M359" s="250"/>
      <c r="N359" s="250"/>
      <c r="O359" s="253"/>
      <c r="P359" s="253"/>
      <c r="Q359" s="250"/>
      <c r="R359" s="253"/>
      <c r="S359" s="253"/>
      <c r="T359" s="253"/>
      <c r="U359" s="253"/>
      <c r="V359" s="247"/>
    </row>
    <row r="360" spans="1:22">
      <c r="A360" s="242"/>
      <c r="B360" s="219"/>
      <c r="C360" s="239"/>
      <c r="D360" s="240"/>
      <c r="E360" s="240"/>
      <c r="F360" s="240"/>
      <c r="G360" s="240"/>
      <c r="H360" s="240"/>
      <c r="I360" s="240"/>
      <c r="J360" s="241"/>
      <c r="K360" s="241"/>
      <c r="L360" s="240"/>
      <c r="M360" s="240"/>
      <c r="N360" s="240"/>
      <c r="O360" s="241"/>
      <c r="P360" s="241"/>
      <c r="Q360" s="240"/>
      <c r="R360" s="241"/>
      <c r="S360" s="241"/>
      <c r="T360" s="241"/>
      <c r="U360" s="241"/>
      <c r="V360" s="247"/>
    </row>
    <row r="361" spans="1:22">
      <c r="A361" s="242"/>
      <c r="B361" s="243"/>
      <c r="C361" s="244"/>
      <c r="D361" s="245"/>
      <c r="E361" s="245"/>
      <c r="F361" s="245"/>
      <c r="G361" s="245"/>
      <c r="H361" s="245"/>
      <c r="I361" s="245"/>
      <c r="J361" s="246"/>
      <c r="K361" s="246"/>
      <c r="L361" s="245"/>
      <c r="M361" s="245"/>
      <c r="N361" s="245"/>
      <c r="O361" s="246"/>
      <c r="P361" s="246"/>
      <c r="Q361" s="245"/>
      <c r="R361" s="246"/>
      <c r="S361" s="246"/>
      <c r="T361" s="246"/>
      <c r="U361" s="246"/>
      <c r="V361" s="247"/>
    </row>
    <row r="362" spans="1:22">
      <c r="A362" s="242"/>
      <c r="B362" s="248"/>
      <c r="C362" s="249"/>
      <c r="D362" s="250"/>
      <c r="E362" s="250"/>
      <c r="F362" s="250"/>
      <c r="G362" s="250"/>
      <c r="H362" s="250"/>
      <c r="I362" s="250"/>
      <c r="J362" s="253"/>
      <c r="K362" s="253"/>
      <c r="L362" s="250"/>
      <c r="M362" s="250"/>
      <c r="N362" s="250"/>
      <c r="O362" s="253"/>
      <c r="P362" s="253"/>
      <c r="Q362" s="250"/>
      <c r="R362" s="253"/>
      <c r="S362" s="253"/>
      <c r="T362" s="253"/>
      <c r="U362" s="253"/>
      <c r="V362" s="247"/>
    </row>
    <row r="363" spans="1:22">
      <c r="A363" s="242"/>
      <c r="B363" s="219"/>
      <c r="C363" s="239"/>
      <c r="D363" s="240"/>
      <c r="E363" s="240"/>
      <c r="F363" s="240"/>
      <c r="G363" s="240"/>
      <c r="H363" s="240"/>
      <c r="I363" s="240"/>
      <c r="J363" s="241"/>
      <c r="K363" s="241"/>
      <c r="L363" s="240"/>
      <c r="M363" s="240"/>
      <c r="N363" s="240"/>
      <c r="O363" s="241"/>
      <c r="P363" s="241"/>
      <c r="Q363" s="240"/>
      <c r="R363" s="241"/>
      <c r="S363" s="241"/>
      <c r="T363" s="241"/>
      <c r="U363" s="241"/>
      <c r="V363" s="247"/>
    </row>
    <row r="364" spans="1:22">
      <c r="A364" s="242"/>
      <c r="B364" s="243"/>
      <c r="C364" s="244"/>
      <c r="D364" s="245"/>
      <c r="E364" s="245"/>
      <c r="F364" s="245"/>
      <c r="G364" s="245"/>
      <c r="H364" s="245"/>
      <c r="I364" s="245"/>
      <c r="J364" s="246"/>
      <c r="K364" s="246"/>
      <c r="L364" s="245"/>
      <c r="M364" s="245"/>
      <c r="N364" s="245"/>
      <c r="O364" s="246"/>
      <c r="P364" s="246"/>
      <c r="Q364" s="245"/>
      <c r="R364" s="246"/>
      <c r="S364" s="246"/>
      <c r="T364" s="246"/>
      <c r="U364" s="246"/>
      <c r="V364" s="247"/>
    </row>
    <row r="365" spans="1:22" ht="15.75" thickBot="1">
      <c r="A365" s="261"/>
      <c r="B365" s="262"/>
      <c r="C365" s="263"/>
      <c r="D365" s="264"/>
      <c r="E365" s="264"/>
      <c r="F365" s="264"/>
      <c r="G365" s="264"/>
      <c r="H365" s="264"/>
      <c r="I365" s="264"/>
      <c r="J365" s="265"/>
      <c r="K365" s="265"/>
      <c r="L365" s="264"/>
      <c r="M365" s="264"/>
      <c r="N365" s="264"/>
      <c r="O365" s="265"/>
      <c r="P365" s="265"/>
      <c r="Q365" s="264"/>
      <c r="R365" s="265"/>
      <c r="S365" s="265"/>
      <c r="T365" s="265"/>
      <c r="U365" s="265"/>
      <c r="V365" s="247"/>
    </row>
    <row r="366" spans="1:22">
      <c r="A366" s="238"/>
      <c r="B366" s="219"/>
      <c r="C366" s="239"/>
      <c r="D366" s="240"/>
      <c r="E366" s="240"/>
      <c r="F366" s="240"/>
      <c r="G366" s="240"/>
      <c r="H366" s="240"/>
      <c r="I366" s="240"/>
      <c r="J366" s="241"/>
      <c r="K366" s="241"/>
      <c r="L366" s="240"/>
      <c r="M366" s="240"/>
      <c r="N366" s="240"/>
      <c r="O366" s="241"/>
      <c r="P366" s="241"/>
      <c r="Q366" s="240"/>
      <c r="R366" s="241"/>
      <c r="S366" s="241"/>
      <c r="T366" s="241"/>
      <c r="U366" s="241"/>
      <c r="V366" s="247"/>
    </row>
    <row r="367" spans="1:22">
      <c r="A367" s="242"/>
      <c r="B367" s="243"/>
      <c r="C367" s="244"/>
      <c r="D367" s="245"/>
      <c r="E367" s="245"/>
      <c r="F367" s="245"/>
      <c r="G367" s="245"/>
      <c r="H367" s="245"/>
      <c r="I367" s="245"/>
      <c r="J367" s="246"/>
      <c r="K367" s="246"/>
      <c r="L367" s="245"/>
      <c r="M367" s="245"/>
      <c r="N367" s="245"/>
      <c r="O367" s="246"/>
      <c r="P367" s="246"/>
      <c r="Q367" s="245"/>
      <c r="R367" s="246"/>
      <c r="S367" s="246"/>
      <c r="T367" s="246"/>
      <c r="U367" s="246"/>
      <c r="V367" s="247"/>
    </row>
    <row r="368" spans="1:22">
      <c r="A368" s="242"/>
      <c r="B368" s="248"/>
      <c r="C368" s="249"/>
      <c r="D368" s="250"/>
      <c r="E368" s="252"/>
      <c r="F368" s="250"/>
      <c r="G368" s="250"/>
      <c r="H368" s="250"/>
      <c r="I368" s="250"/>
      <c r="J368" s="253"/>
      <c r="K368" s="253"/>
      <c r="L368" s="250"/>
      <c r="M368" s="250"/>
      <c r="N368" s="250"/>
      <c r="O368" s="253"/>
      <c r="P368" s="253"/>
      <c r="Q368" s="250"/>
      <c r="R368" s="253"/>
      <c r="S368" s="253"/>
      <c r="T368" s="253"/>
      <c r="U368" s="253"/>
      <c r="V368" s="247"/>
    </row>
    <row r="369" spans="1:22">
      <c r="A369" s="242"/>
      <c r="B369" s="219"/>
      <c r="C369" s="239"/>
      <c r="D369" s="240"/>
      <c r="E369" s="240"/>
      <c r="F369" s="240"/>
      <c r="G369" s="240"/>
      <c r="H369" s="240"/>
      <c r="I369" s="240"/>
      <c r="J369" s="241"/>
      <c r="K369" s="241"/>
      <c r="L369" s="240"/>
      <c r="M369" s="240"/>
      <c r="N369" s="240"/>
      <c r="O369" s="241"/>
      <c r="P369" s="241"/>
      <c r="Q369" s="240"/>
      <c r="R369" s="241"/>
      <c r="S369" s="241"/>
      <c r="T369" s="241"/>
      <c r="U369" s="241"/>
      <c r="V369" s="247"/>
    </row>
    <row r="370" spans="1:22">
      <c r="A370" s="242"/>
      <c r="B370" s="243"/>
      <c r="C370" s="244"/>
      <c r="D370" s="245"/>
      <c r="E370" s="245"/>
      <c r="F370" s="245"/>
      <c r="G370" s="245"/>
      <c r="H370" s="245"/>
      <c r="I370" s="245"/>
      <c r="J370" s="246"/>
      <c r="K370" s="246"/>
      <c r="L370" s="245"/>
      <c r="M370" s="245"/>
      <c r="N370" s="245"/>
      <c r="O370" s="246"/>
      <c r="P370" s="246"/>
      <c r="Q370" s="245"/>
      <c r="R370" s="246"/>
      <c r="S370" s="246"/>
      <c r="T370" s="246"/>
      <c r="U370" s="246"/>
      <c r="V370" s="247"/>
    </row>
    <row r="371" spans="1:22">
      <c r="A371" s="242"/>
      <c r="B371" s="248"/>
      <c r="C371" s="249"/>
      <c r="D371" s="250"/>
      <c r="E371" s="252"/>
      <c r="F371" s="250"/>
      <c r="G371" s="250"/>
      <c r="H371" s="250"/>
      <c r="I371" s="250"/>
      <c r="J371" s="253"/>
      <c r="K371" s="253"/>
      <c r="L371" s="250"/>
      <c r="M371" s="250"/>
      <c r="N371" s="250"/>
      <c r="O371" s="253"/>
      <c r="P371" s="253"/>
      <c r="Q371" s="250"/>
      <c r="R371" s="253"/>
      <c r="S371" s="253"/>
      <c r="T371" s="253"/>
      <c r="U371" s="253"/>
      <c r="V371" s="247"/>
    </row>
    <row r="372" spans="1:22">
      <c r="A372" s="242"/>
      <c r="B372" s="219"/>
      <c r="C372" s="239"/>
      <c r="D372" s="240"/>
      <c r="E372" s="240"/>
      <c r="F372" s="240"/>
      <c r="G372" s="240"/>
      <c r="H372" s="240"/>
      <c r="I372" s="240"/>
      <c r="J372" s="241"/>
      <c r="K372" s="241"/>
      <c r="L372" s="240"/>
      <c r="M372" s="240"/>
      <c r="N372" s="240"/>
      <c r="O372" s="241"/>
      <c r="P372" s="241"/>
      <c r="Q372" s="240"/>
      <c r="R372" s="241"/>
      <c r="S372" s="241"/>
      <c r="T372" s="241"/>
      <c r="U372" s="241"/>
      <c r="V372" s="247"/>
    </row>
    <row r="373" spans="1:22">
      <c r="A373" s="242"/>
      <c r="B373" s="243"/>
      <c r="C373" s="244"/>
      <c r="D373" s="245"/>
      <c r="E373" s="245"/>
      <c r="F373" s="245"/>
      <c r="G373" s="245"/>
      <c r="H373" s="245"/>
      <c r="I373" s="245"/>
      <c r="J373" s="246"/>
      <c r="K373" s="246"/>
      <c r="L373" s="245"/>
      <c r="M373" s="245"/>
      <c r="N373" s="245"/>
      <c r="O373" s="246"/>
      <c r="P373" s="246"/>
      <c r="Q373" s="245"/>
      <c r="R373" s="246"/>
      <c r="S373" s="246"/>
      <c r="T373" s="246"/>
      <c r="U373" s="246"/>
      <c r="V373" s="247"/>
    </row>
    <row r="374" spans="1:22">
      <c r="A374" s="242"/>
      <c r="B374" s="248"/>
      <c r="C374" s="249"/>
      <c r="D374" s="250"/>
      <c r="E374" s="250"/>
      <c r="F374" s="250"/>
      <c r="G374" s="250"/>
      <c r="H374" s="250"/>
      <c r="I374" s="250"/>
      <c r="J374" s="253"/>
      <c r="K374" s="253"/>
      <c r="L374" s="250"/>
      <c r="M374" s="250"/>
      <c r="N374" s="250"/>
      <c r="O374" s="253"/>
      <c r="P374" s="253"/>
      <c r="Q374" s="250"/>
      <c r="R374" s="253"/>
      <c r="S374" s="253"/>
      <c r="T374" s="253"/>
      <c r="U374" s="253"/>
      <c r="V374" s="247"/>
    </row>
    <row r="375" spans="1:22">
      <c r="A375" s="242"/>
      <c r="B375" s="219"/>
      <c r="C375" s="239"/>
      <c r="D375" s="240"/>
      <c r="E375" s="240"/>
      <c r="F375" s="240"/>
      <c r="G375" s="240"/>
      <c r="H375" s="240"/>
      <c r="I375" s="240"/>
      <c r="J375" s="241"/>
      <c r="K375" s="241"/>
      <c r="L375" s="240"/>
      <c r="M375" s="240"/>
      <c r="N375" s="240"/>
      <c r="O375" s="241"/>
      <c r="P375" s="241"/>
      <c r="Q375" s="240"/>
      <c r="R375" s="241"/>
      <c r="S375" s="241"/>
      <c r="T375" s="241"/>
      <c r="U375" s="241"/>
      <c r="V375" s="247"/>
    </row>
    <row r="376" spans="1:22">
      <c r="A376" s="242"/>
      <c r="B376" s="243"/>
      <c r="C376" s="244"/>
      <c r="D376" s="245"/>
      <c r="E376" s="245"/>
      <c r="F376" s="245"/>
      <c r="G376" s="245"/>
      <c r="H376" s="245"/>
      <c r="I376" s="245"/>
      <c r="J376" s="246"/>
      <c r="K376" s="246"/>
      <c r="L376" s="245"/>
      <c r="M376" s="245"/>
      <c r="N376" s="245"/>
      <c r="O376" s="246"/>
      <c r="P376" s="246"/>
      <c r="Q376" s="245"/>
      <c r="R376" s="246"/>
      <c r="S376" s="246"/>
      <c r="T376" s="246"/>
      <c r="U376" s="246"/>
      <c r="V376" s="247"/>
    </row>
    <row r="377" spans="1:22">
      <c r="A377" s="242"/>
      <c r="B377" s="248"/>
      <c r="C377" s="249"/>
      <c r="D377" s="250"/>
      <c r="E377" s="250"/>
      <c r="F377" s="250"/>
      <c r="G377" s="250"/>
      <c r="H377" s="250"/>
      <c r="I377" s="250"/>
      <c r="J377" s="253"/>
      <c r="K377" s="253"/>
      <c r="L377" s="250"/>
      <c r="M377" s="250"/>
      <c r="N377" s="250"/>
      <c r="O377" s="253"/>
      <c r="P377" s="253"/>
      <c r="Q377" s="250"/>
      <c r="R377" s="253"/>
      <c r="S377" s="253"/>
      <c r="T377" s="253"/>
      <c r="U377" s="253"/>
      <c r="V377" s="247"/>
    </row>
    <row r="378" spans="1:22">
      <c r="A378" s="242"/>
      <c r="B378" s="219"/>
      <c r="C378" s="239"/>
      <c r="D378" s="240"/>
      <c r="E378" s="240"/>
      <c r="F378" s="240"/>
      <c r="G378" s="240"/>
      <c r="H378" s="240"/>
      <c r="I378" s="240"/>
      <c r="J378" s="241"/>
      <c r="K378" s="241"/>
      <c r="L378" s="240"/>
      <c r="M378" s="240"/>
      <c r="N378" s="240"/>
      <c r="O378" s="241"/>
      <c r="P378" s="241"/>
      <c r="Q378" s="240"/>
      <c r="R378" s="241"/>
      <c r="S378" s="241"/>
      <c r="T378" s="241"/>
      <c r="U378" s="241"/>
      <c r="V378" s="247"/>
    </row>
    <row r="379" spans="1:22">
      <c r="A379" s="242"/>
      <c r="B379" s="243"/>
      <c r="C379" s="244"/>
      <c r="D379" s="245"/>
      <c r="E379" s="245"/>
      <c r="F379" s="245"/>
      <c r="G379" s="245"/>
      <c r="H379" s="245"/>
      <c r="I379" s="245"/>
      <c r="J379" s="246"/>
      <c r="K379" s="246"/>
      <c r="L379" s="245"/>
      <c r="M379" s="245"/>
      <c r="N379" s="245"/>
      <c r="O379" s="246"/>
      <c r="P379" s="246"/>
      <c r="Q379" s="245"/>
      <c r="R379" s="246"/>
      <c r="S379" s="246"/>
      <c r="T379" s="246"/>
      <c r="U379" s="246"/>
      <c r="V379" s="247"/>
    </row>
    <row r="380" spans="1:22">
      <c r="A380" s="242"/>
      <c r="B380" s="248"/>
      <c r="C380" s="249"/>
      <c r="D380" s="250"/>
      <c r="E380" s="250"/>
      <c r="F380" s="250"/>
      <c r="G380" s="250"/>
      <c r="H380" s="250"/>
      <c r="I380" s="250"/>
      <c r="J380" s="253"/>
      <c r="K380" s="253"/>
      <c r="L380" s="250"/>
      <c r="M380" s="250"/>
      <c r="N380" s="250"/>
      <c r="O380" s="253"/>
      <c r="P380" s="253"/>
      <c r="Q380" s="250"/>
      <c r="R380" s="253"/>
      <c r="S380" s="253"/>
      <c r="T380" s="253"/>
      <c r="U380" s="253"/>
      <c r="V380" s="247"/>
    </row>
    <row r="381" spans="1:22">
      <c r="A381" s="242"/>
      <c r="B381" s="219"/>
      <c r="C381" s="239"/>
      <c r="D381" s="240"/>
      <c r="E381" s="240"/>
      <c r="F381" s="240"/>
      <c r="G381" s="240"/>
      <c r="H381" s="240"/>
      <c r="I381" s="240"/>
      <c r="J381" s="241"/>
      <c r="K381" s="241"/>
      <c r="L381" s="240"/>
      <c r="M381" s="240"/>
      <c r="N381" s="240"/>
      <c r="O381" s="241"/>
      <c r="P381" s="241"/>
      <c r="Q381" s="240"/>
      <c r="R381" s="241"/>
      <c r="S381" s="241"/>
      <c r="T381" s="241"/>
      <c r="U381" s="241"/>
      <c r="V381" s="247"/>
    </row>
    <row r="382" spans="1:22">
      <c r="A382" s="242"/>
      <c r="B382" s="243"/>
      <c r="C382" s="244"/>
      <c r="D382" s="245"/>
      <c r="E382" s="245"/>
      <c r="F382" s="245"/>
      <c r="G382" s="245"/>
      <c r="H382" s="245"/>
      <c r="I382" s="245"/>
      <c r="J382" s="246"/>
      <c r="K382" s="246"/>
      <c r="L382" s="245"/>
      <c r="M382" s="245"/>
      <c r="N382" s="245"/>
      <c r="O382" s="246"/>
      <c r="P382" s="246"/>
      <c r="Q382" s="245"/>
      <c r="R382" s="246"/>
      <c r="S382" s="246"/>
      <c r="T382" s="246"/>
      <c r="U382" s="246"/>
      <c r="V382" s="247"/>
    </row>
    <row r="383" spans="1:22" ht="15.75" thickBot="1">
      <c r="A383" s="242"/>
      <c r="B383" s="257"/>
      <c r="C383" s="258"/>
      <c r="D383" s="259"/>
      <c r="E383" s="259"/>
      <c r="F383" s="259"/>
      <c r="G383" s="259"/>
      <c r="H383" s="259"/>
      <c r="I383" s="259"/>
      <c r="J383" s="260"/>
      <c r="K383" s="260"/>
      <c r="L383" s="259"/>
      <c r="M383" s="259"/>
      <c r="N383" s="259"/>
      <c r="O383" s="260"/>
      <c r="P383" s="260"/>
      <c r="Q383" s="259"/>
      <c r="R383" s="260"/>
      <c r="S383" s="260"/>
      <c r="T383" s="260"/>
      <c r="U383" s="260"/>
      <c r="V383" s="247"/>
    </row>
    <row r="384" spans="1:22" ht="15.75" thickTop="1">
      <c r="A384" s="242"/>
      <c r="B384" s="243"/>
      <c r="C384" s="244"/>
      <c r="D384" s="245"/>
      <c r="E384" s="245"/>
      <c r="F384" s="245"/>
      <c r="G384" s="245"/>
      <c r="H384" s="245"/>
      <c r="I384" s="245"/>
      <c r="J384" s="246"/>
      <c r="K384" s="246"/>
      <c r="L384" s="245"/>
      <c r="M384" s="245"/>
      <c r="N384" s="245"/>
      <c r="O384" s="246"/>
      <c r="P384" s="246"/>
      <c r="Q384" s="245"/>
      <c r="R384" s="246"/>
      <c r="S384" s="246"/>
      <c r="T384" s="246"/>
      <c r="U384" s="246"/>
      <c r="V384" s="247"/>
    </row>
    <row r="385" spans="1:22">
      <c r="A385" s="242"/>
      <c r="B385" s="243"/>
      <c r="C385" s="244"/>
      <c r="D385" s="245"/>
      <c r="E385" s="245"/>
      <c r="F385" s="245"/>
      <c r="G385" s="245"/>
      <c r="H385" s="245"/>
      <c r="I385" s="245"/>
      <c r="J385" s="246"/>
      <c r="K385" s="246"/>
      <c r="L385" s="245"/>
      <c r="M385" s="245"/>
      <c r="N385" s="245"/>
      <c r="O385" s="246"/>
      <c r="P385" s="246"/>
      <c r="Q385" s="245"/>
      <c r="R385" s="246"/>
      <c r="S385" s="246"/>
      <c r="T385" s="246"/>
      <c r="U385" s="246"/>
      <c r="V385" s="247"/>
    </row>
    <row r="386" spans="1:22">
      <c r="A386" s="242"/>
      <c r="B386" s="248"/>
      <c r="C386" s="269"/>
      <c r="D386" s="250"/>
      <c r="E386" s="252"/>
      <c r="F386" s="252"/>
      <c r="G386" s="250"/>
      <c r="H386" s="250"/>
      <c r="I386" s="250"/>
      <c r="J386" s="253"/>
      <c r="K386" s="253"/>
      <c r="L386" s="250"/>
      <c r="M386" s="250"/>
      <c r="N386" s="250"/>
      <c r="O386" s="253"/>
      <c r="P386" s="253"/>
      <c r="Q386" s="250"/>
      <c r="R386" s="253"/>
      <c r="S386" s="253"/>
      <c r="T386" s="253"/>
      <c r="U386" s="253"/>
      <c r="V386" s="247"/>
    </row>
    <row r="387" spans="1:22">
      <c r="A387" s="242"/>
      <c r="B387" s="219"/>
      <c r="C387" s="239"/>
      <c r="D387" s="240"/>
      <c r="E387" s="240"/>
      <c r="F387" s="240"/>
      <c r="G387" s="240"/>
      <c r="H387" s="240"/>
      <c r="I387" s="240"/>
      <c r="J387" s="241"/>
      <c r="K387" s="241"/>
      <c r="L387" s="240"/>
      <c r="M387" s="240"/>
      <c r="N387" s="240"/>
      <c r="O387" s="241"/>
      <c r="P387" s="241"/>
      <c r="Q387" s="240"/>
      <c r="R387" s="241"/>
      <c r="S387" s="241"/>
      <c r="T387" s="241"/>
      <c r="U387" s="241"/>
      <c r="V387" s="247"/>
    </row>
    <row r="388" spans="1:22">
      <c r="A388" s="242"/>
      <c r="B388" s="243"/>
      <c r="C388" s="244"/>
      <c r="D388" s="245"/>
      <c r="E388" s="245"/>
      <c r="F388" s="245"/>
      <c r="G388" s="245"/>
      <c r="H388" s="245"/>
      <c r="I388" s="245"/>
      <c r="J388" s="246"/>
      <c r="K388" s="246"/>
      <c r="L388" s="245"/>
      <c r="M388" s="245"/>
      <c r="N388" s="245"/>
      <c r="O388" s="246"/>
      <c r="P388" s="246"/>
      <c r="Q388" s="245"/>
      <c r="R388" s="246"/>
      <c r="S388" s="246"/>
      <c r="T388" s="246"/>
      <c r="U388" s="246"/>
      <c r="V388" s="247"/>
    </row>
    <row r="389" spans="1:22">
      <c r="A389" s="242"/>
      <c r="B389" s="248"/>
      <c r="C389" s="269"/>
      <c r="D389" s="250"/>
      <c r="E389" s="252"/>
      <c r="F389" s="250"/>
      <c r="G389" s="250"/>
      <c r="H389" s="250"/>
      <c r="I389" s="250"/>
      <c r="J389" s="253"/>
      <c r="K389" s="253"/>
      <c r="L389" s="250"/>
      <c r="M389" s="250"/>
      <c r="N389" s="250"/>
      <c r="O389" s="253"/>
      <c r="P389" s="253"/>
      <c r="Q389" s="250"/>
      <c r="R389" s="253"/>
      <c r="S389" s="253"/>
      <c r="T389" s="253"/>
      <c r="U389" s="253"/>
      <c r="V389" s="247"/>
    </row>
    <row r="390" spans="1:22">
      <c r="A390" s="242"/>
      <c r="B390" s="219"/>
      <c r="C390" s="239"/>
      <c r="D390" s="240"/>
      <c r="E390" s="240"/>
      <c r="F390" s="240"/>
      <c r="G390" s="240"/>
      <c r="H390" s="240"/>
      <c r="I390" s="240"/>
      <c r="J390" s="241"/>
      <c r="K390" s="241"/>
      <c r="L390" s="240"/>
      <c r="M390" s="240"/>
      <c r="N390" s="240"/>
      <c r="O390" s="241"/>
      <c r="P390" s="241"/>
      <c r="Q390" s="240"/>
      <c r="R390" s="241"/>
      <c r="S390" s="241"/>
      <c r="T390" s="241"/>
      <c r="U390" s="241"/>
      <c r="V390" s="247"/>
    </row>
    <row r="391" spans="1:22">
      <c r="A391" s="242"/>
      <c r="B391" s="243"/>
      <c r="C391" s="244"/>
      <c r="D391" s="245"/>
      <c r="E391" s="245"/>
      <c r="F391" s="245"/>
      <c r="G391" s="245"/>
      <c r="H391" s="245"/>
      <c r="I391" s="245"/>
      <c r="J391" s="246"/>
      <c r="K391" s="246"/>
      <c r="L391" s="245"/>
      <c r="M391" s="245"/>
      <c r="N391" s="245"/>
      <c r="O391" s="246"/>
      <c r="P391" s="246"/>
      <c r="Q391" s="245"/>
      <c r="R391" s="246"/>
      <c r="S391" s="246"/>
      <c r="T391" s="246"/>
      <c r="U391" s="246"/>
      <c r="V391" s="247"/>
    </row>
    <row r="392" spans="1:22">
      <c r="A392" s="242"/>
      <c r="B392" s="248"/>
      <c r="C392" s="269"/>
      <c r="D392" s="250"/>
      <c r="E392" s="250"/>
      <c r="F392" s="252"/>
      <c r="G392" s="250"/>
      <c r="H392" s="250"/>
      <c r="I392" s="250"/>
      <c r="J392" s="253"/>
      <c r="K392" s="253"/>
      <c r="L392" s="250"/>
      <c r="M392" s="250"/>
      <c r="N392" s="250"/>
      <c r="O392" s="253"/>
      <c r="P392" s="253"/>
      <c r="Q392" s="250"/>
      <c r="R392" s="253"/>
      <c r="S392" s="253"/>
      <c r="T392" s="253"/>
      <c r="U392" s="253"/>
      <c r="V392" s="247"/>
    </row>
    <row r="393" spans="1:22">
      <c r="A393" s="242"/>
      <c r="B393" s="219"/>
      <c r="C393" s="239"/>
      <c r="D393" s="240"/>
      <c r="E393" s="240"/>
      <c r="F393" s="240"/>
      <c r="G393" s="240"/>
      <c r="H393" s="240"/>
      <c r="I393" s="240"/>
      <c r="J393" s="241"/>
      <c r="K393" s="241"/>
      <c r="L393" s="240"/>
      <c r="M393" s="240"/>
      <c r="N393" s="240"/>
      <c r="O393" s="241"/>
      <c r="P393" s="241"/>
      <c r="Q393" s="240"/>
      <c r="R393" s="241"/>
      <c r="S393" s="241"/>
      <c r="T393" s="241"/>
      <c r="U393" s="241"/>
      <c r="V393" s="247"/>
    </row>
    <row r="394" spans="1:22">
      <c r="A394" s="242"/>
      <c r="B394" s="243"/>
      <c r="C394" s="244"/>
      <c r="D394" s="245"/>
      <c r="E394" s="245"/>
      <c r="F394" s="245"/>
      <c r="G394" s="245"/>
      <c r="H394" s="245"/>
      <c r="I394" s="245"/>
      <c r="J394" s="246"/>
      <c r="K394" s="246"/>
      <c r="L394" s="245"/>
      <c r="M394" s="245"/>
      <c r="N394" s="245"/>
      <c r="O394" s="246"/>
      <c r="P394" s="246"/>
      <c r="Q394" s="245"/>
      <c r="R394" s="246"/>
      <c r="S394" s="246"/>
      <c r="T394" s="246"/>
      <c r="U394" s="246"/>
      <c r="V394" s="247"/>
    </row>
    <row r="395" spans="1:22">
      <c r="A395" s="242"/>
      <c r="B395" s="248"/>
      <c r="C395" s="249"/>
      <c r="D395" s="250"/>
      <c r="E395" s="250"/>
      <c r="F395" s="250"/>
      <c r="G395" s="250"/>
      <c r="H395" s="250"/>
      <c r="I395" s="250"/>
      <c r="J395" s="253"/>
      <c r="K395" s="253"/>
      <c r="L395" s="250"/>
      <c r="M395" s="250"/>
      <c r="N395" s="250"/>
      <c r="O395" s="253"/>
      <c r="P395" s="253"/>
      <c r="Q395" s="250"/>
      <c r="R395" s="253"/>
      <c r="S395" s="253"/>
      <c r="T395" s="253"/>
      <c r="U395" s="253"/>
      <c r="V395" s="247"/>
    </row>
    <row r="396" spans="1:22">
      <c r="A396" s="242"/>
      <c r="B396" s="219"/>
      <c r="C396" s="239"/>
      <c r="D396" s="240"/>
      <c r="E396" s="240"/>
      <c r="F396" s="240"/>
      <c r="G396" s="240"/>
      <c r="H396" s="240"/>
      <c r="I396" s="240"/>
      <c r="J396" s="241"/>
      <c r="K396" s="241"/>
      <c r="L396" s="240"/>
      <c r="M396" s="240"/>
      <c r="N396" s="240"/>
      <c r="O396" s="241"/>
      <c r="P396" s="241"/>
      <c r="Q396" s="240"/>
      <c r="R396" s="241"/>
      <c r="S396" s="241"/>
      <c r="T396" s="241"/>
      <c r="U396" s="241"/>
      <c r="V396" s="247"/>
    </row>
    <row r="397" spans="1:22">
      <c r="A397" s="242"/>
      <c r="B397" s="243"/>
      <c r="C397" s="244"/>
      <c r="D397" s="245"/>
      <c r="E397" s="245"/>
      <c r="F397" s="245"/>
      <c r="G397" s="245"/>
      <c r="H397" s="245"/>
      <c r="I397" s="245"/>
      <c r="J397" s="246"/>
      <c r="K397" s="246"/>
      <c r="L397" s="245"/>
      <c r="M397" s="245"/>
      <c r="N397" s="245"/>
      <c r="O397" s="246"/>
      <c r="P397" s="246"/>
      <c r="Q397" s="245"/>
      <c r="R397" s="246"/>
      <c r="S397" s="246"/>
      <c r="T397" s="246"/>
      <c r="U397" s="246"/>
      <c r="V397" s="247"/>
    </row>
    <row r="398" spans="1:22">
      <c r="A398" s="242"/>
      <c r="B398" s="248"/>
      <c r="C398" s="249"/>
      <c r="D398" s="250"/>
      <c r="E398" s="250"/>
      <c r="F398" s="250"/>
      <c r="G398" s="250"/>
      <c r="H398" s="250"/>
      <c r="I398" s="250"/>
      <c r="J398" s="253"/>
      <c r="K398" s="253"/>
      <c r="L398" s="250"/>
      <c r="M398" s="250"/>
      <c r="N398" s="250"/>
      <c r="O398" s="253"/>
      <c r="P398" s="253"/>
      <c r="Q398" s="250"/>
      <c r="R398" s="253"/>
      <c r="S398" s="253"/>
      <c r="T398" s="253"/>
      <c r="U398" s="253"/>
      <c r="V398" s="247"/>
    </row>
    <row r="399" spans="1:22">
      <c r="A399" s="242"/>
      <c r="B399" s="219"/>
      <c r="C399" s="239"/>
      <c r="D399" s="240"/>
      <c r="E399" s="240"/>
      <c r="F399" s="240"/>
      <c r="G399" s="240"/>
      <c r="H399" s="240"/>
      <c r="I399" s="240"/>
      <c r="J399" s="241"/>
      <c r="K399" s="241"/>
      <c r="L399" s="240"/>
      <c r="M399" s="240"/>
      <c r="N399" s="240"/>
      <c r="O399" s="241"/>
      <c r="P399" s="241"/>
      <c r="Q399" s="240"/>
      <c r="R399" s="241"/>
      <c r="S399" s="241"/>
      <c r="T399" s="241"/>
      <c r="U399" s="241"/>
      <c r="V399" s="247"/>
    </row>
    <row r="400" spans="1:22">
      <c r="A400" s="242"/>
      <c r="B400" s="243"/>
      <c r="C400" s="244"/>
      <c r="D400" s="245"/>
      <c r="E400" s="245"/>
      <c r="F400" s="245"/>
      <c r="G400" s="245"/>
      <c r="H400" s="245"/>
      <c r="I400" s="245"/>
      <c r="J400" s="246"/>
      <c r="K400" s="246"/>
      <c r="L400" s="245"/>
      <c r="M400" s="245"/>
      <c r="N400" s="245"/>
      <c r="O400" s="246"/>
      <c r="P400" s="246"/>
      <c r="Q400" s="245"/>
      <c r="R400" s="246"/>
      <c r="S400" s="246"/>
      <c r="T400" s="246"/>
      <c r="U400" s="246"/>
      <c r="V400" s="247"/>
    </row>
    <row r="401" spans="1:22" ht="15.75" thickBot="1">
      <c r="A401" s="261"/>
      <c r="B401" s="262"/>
      <c r="C401" s="263"/>
      <c r="D401" s="264"/>
      <c r="E401" s="264"/>
      <c r="F401" s="264"/>
      <c r="G401" s="264"/>
      <c r="H401" s="264"/>
      <c r="I401" s="264"/>
      <c r="J401" s="265"/>
      <c r="K401" s="265"/>
      <c r="L401" s="264"/>
      <c r="M401" s="264"/>
      <c r="N401" s="264"/>
      <c r="O401" s="265"/>
      <c r="P401" s="265"/>
      <c r="Q401" s="264"/>
      <c r="R401" s="265"/>
      <c r="S401" s="265"/>
      <c r="T401" s="265"/>
      <c r="U401" s="265"/>
      <c r="V401" s="247"/>
    </row>
    <row r="402" spans="1:22">
      <c r="A402" s="238"/>
      <c r="B402" s="219"/>
      <c r="C402" s="239"/>
      <c r="D402" s="240"/>
      <c r="E402" s="240"/>
      <c r="F402" s="240"/>
      <c r="G402" s="240"/>
      <c r="H402" s="240"/>
      <c r="I402" s="240"/>
      <c r="J402" s="241"/>
      <c r="K402" s="241"/>
      <c r="L402" s="240"/>
      <c r="M402" s="240"/>
      <c r="N402" s="240"/>
      <c r="O402" s="241"/>
      <c r="P402" s="241"/>
      <c r="Q402" s="240"/>
      <c r="R402" s="241"/>
      <c r="S402" s="241"/>
      <c r="T402" s="241"/>
      <c r="U402" s="241"/>
      <c r="V402" s="247"/>
    </row>
    <row r="403" spans="1:22">
      <c r="A403" s="242"/>
      <c r="B403" s="243"/>
      <c r="C403" s="244"/>
      <c r="D403" s="245"/>
      <c r="E403" s="245"/>
      <c r="F403" s="245"/>
      <c r="G403" s="245"/>
      <c r="H403" s="245"/>
      <c r="I403" s="245"/>
      <c r="J403" s="246"/>
      <c r="K403" s="246"/>
      <c r="L403" s="245"/>
      <c r="M403" s="245"/>
      <c r="N403" s="245"/>
      <c r="O403" s="246"/>
      <c r="P403" s="246"/>
      <c r="Q403" s="245"/>
      <c r="R403" s="246"/>
      <c r="S403" s="246"/>
      <c r="T403" s="246"/>
      <c r="U403" s="246"/>
      <c r="V403" s="247"/>
    </row>
    <row r="404" spans="1:22">
      <c r="A404" s="242"/>
      <c r="B404" s="248"/>
      <c r="C404" s="249"/>
      <c r="D404" s="250"/>
      <c r="E404" s="250"/>
      <c r="F404" s="250"/>
      <c r="G404" s="250"/>
      <c r="H404" s="250"/>
      <c r="I404" s="250"/>
      <c r="J404" s="253"/>
      <c r="K404" s="253"/>
      <c r="L404" s="250"/>
      <c r="M404" s="250"/>
      <c r="N404" s="252"/>
      <c r="O404" s="253"/>
      <c r="P404" s="253"/>
      <c r="Q404" s="250"/>
      <c r="R404" s="253"/>
      <c r="S404" s="253"/>
      <c r="T404" s="253"/>
      <c r="U404" s="253"/>
      <c r="V404" s="247"/>
    </row>
    <row r="405" spans="1:22">
      <c r="A405" s="242"/>
      <c r="B405" s="219"/>
      <c r="C405" s="239"/>
      <c r="D405" s="240"/>
      <c r="E405" s="240"/>
      <c r="F405" s="240"/>
      <c r="G405" s="240"/>
      <c r="H405" s="240"/>
      <c r="I405" s="240"/>
      <c r="J405" s="241"/>
      <c r="K405" s="241"/>
      <c r="L405" s="240"/>
      <c r="M405" s="240"/>
      <c r="N405" s="240"/>
      <c r="O405" s="241"/>
      <c r="P405" s="241"/>
      <c r="Q405" s="240"/>
      <c r="R405" s="241"/>
      <c r="S405" s="241"/>
      <c r="T405" s="241"/>
      <c r="U405" s="241"/>
      <c r="V405" s="247"/>
    </row>
    <row r="406" spans="1:22">
      <c r="A406" s="242"/>
      <c r="B406" s="243"/>
      <c r="C406" s="244"/>
      <c r="D406" s="245"/>
      <c r="E406" s="245"/>
      <c r="F406" s="245"/>
      <c r="G406" s="245"/>
      <c r="H406" s="245"/>
      <c r="I406" s="245"/>
      <c r="J406" s="246"/>
      <c r="K406" s="246"/>
      <c r="L406" s="245"/>
      <c r="M406" s="245"/>
      <c r="N406" s="245"/>
      <c r="O406" s="246"/>
      <c r="P406" s="246"/>
      <c r="Q406" s="245"/>
      <c r="R406" s="246"/>
      <c r="S406" s="246"/>
      <c r="T406" s="246"/>
      <c r="U406" s="246"/>
      <c r="V406" s="247"/>
    </row>
    <row r="407" spans="1:22">
      <c r="A407" s="242"/>
      <c r="B407" s="248"/>
      <c r="C407" s="249"/>
      <c r="D407" s="250"/>
      <c r="E407" s="250"/>
      <c r="F407" s="250"/>
      <c r="G407" s="250"/>
      <c r="H407" s="250"/>
      <c r="I407" s="250"/>
      <c r="J407" s="253"/>
      <c r="K407" s="253"/>
      <c r="L407" s="250"/>
      <c r="M407" s="250"/>
      <c r="N407" s="250"/>
      <c r="O407" s="253"/>
      <c r="P407" s="253"/>
      <c r="Q407" s="250"/>
      <c r="R407" s="253"/>
      <c r="S407" s="253"/>
      <c r="T407" s="253"/>
      <c r="U407" s="253"/>
      <c r="V407" s="247"/>
    </row>
    <row r="408" spans="1:22">
      <c r="A408" s="242"/>
      <c r="B408" s="219"/>
      <c r="C408" s="239"/>
      <c r="D408" s="240"/>
      <c r="E408" s="240"/>
      <c r="F408" s="240"/>
      <c r="G408" s="240"/>
      <c r="H408" s="240"/>
      <c r="I408" s="240"/>
      <c r="J408" s="241"/>
      <c r="K408" s="241"/>
      <c r="L408" s="240"/>
      <c r="M408" s="240"/>
      <c r="N408" s="240"/>
      <c r="O408" s="241"/>
      <c r="P408" s="241"/>
      <c r="Q408" s="240"/>
      <c r="R408" s="241"/>
      <c r="S408" s="241"/>
      <c r="T408" s="241"/>
      <c r="U408" s="241"/>
      <c r="V408" s="247"/>
    </row>
    <row r="409" spans="1:22">
      <c r="A409" s="242"/>
      <c r="B409" s="243"/>
      <c r="C409" s="244"/>
      <c r="D409" s="245"/>
      <c r="E409" s="245"/>
      <c r="F409" s="245"/>
      <c r="G409" s="245"/>
      <c r="H409" s="245"/>
      <c r="I409" s="245"/>
      <c r="J409" s="246"/>
      <c r="K409" s="246"/>
      <c r="L409" s="245"/>
      <c r="M409" s="245"/>
      <c r="N409" s="245"/>
      <c r="O409" s="246"/>
      <c r="P409" s="246"/>
      <c r="Q409" s="245"/>
      <c r="R409" s="246"/>
      <c r="S409" s="246"/>
      <c r="T409" s="246"/>
      <c r="U409" s="246"/>
      <c r="V409" s="247"/>
    </row>
    <row r="410" spans="1:22">
      <c r="A410" s="242"/>
      <c r="B410" s="248"/>
      <c r="C410" s="249"/>
      <c r="D410" s="250"/>
      <c r="E410" s="250"/>
      <c r="F410" s="250"/>
      <c r="G410" s="250"/>
      <c r="H410" s="250"/>
      <c r="I410" s="250"/>
      <c r="J410" s="253"/>
      <c r="K410" s="253"/>
      <c r="L410" s="250"/>
      <c r="M410" s="250"/>
      <c r="N410" s="252"/>
      <c r="O410" s="253"/>
      <c r="P410" s="253"/>
      <c r="Q410" s="250"/>
      <c r="R410" s="253"/>
      <c r="S410" s="253"/>
      <c r="T410" s="253"/>
      <c r="U410" s="253"/>
      <c r="V410" s="247"/>
    </row>
    <row r="411" spans="1:22">
      <c r="A411" s="242"/>
      <c r="B411" s="219"/>
      <c r="C411" s="239"/>
      <c r="D411" s="240"/>
      <c r="E411" s="240"/>
      <c r="F411" s="240"/>
      <c r="G411" s="240"/>
      <c r="H411" s="240"/>
      <c r="I411" s="240"/>
      <c r="J411" s="241"/>
      <c r="K411" s="241"/>
      <c r="L411" s="240"/>
      <c r="M411" s="240"/>
      <c r="N411" s="240"/>
      <c r="O411" s="241"/>
      <c r="P411" s="241"/>
      <c r="Q411" s="240"/>
      <c r="R411" s="241"/>
      <c r="S411" s="241"/>
      <c r="T411" s="241"/>
      <c r="U411" s="241"/>
      <c r="V411" s="247"/>
    </row>
    <row r="412" spans="1:22">
      <c r="A412" s="242"/>
      <c r="B412" s="243"/>
      <c r="C412" s="256"/>
      <c r="D412" s="245"/>
      <c r="E412" s="245"/>
      <c r="F412" s="245"/>
      <c r="G412" s="245"/>
      <c r="H412" s="254"/>
      <c r="I412" s="245"/>
      <c r="J412" s="246"/>
      <c r="K412" s="246"/>
      <c r="L412" s="245"/>
      <c r="M412" s="245"/>
      <c r="N412" s="245"/>
      <c r="O412" s="246"/>
      <c r="P412" s="246"/>
      <c r="Q412" s="245"/>
      <c r="R412" s="246"/>
      <c r="S412" s="246"/>
      <c r="T412" s="246"/>
      <c r="U412" s="246"/>
      <c r="V412" s="247"/>
    </row>
    <row r="413" spans="1:22">
      <c r="A413" s="242"/>
      <c r="B413" s="248"/>
      <c r="C413" s="269"/>
      <c r="D413" s="250"/>
      <c r="E413" s="250"/>
      <c r="F413" s="250"/>
      <c r="G413" s="250"/>
      <c r="H413" s="252"/>
      <c r="I413" s="250"/>
      <c r="J413" s="253"/>
      <c r="K413" s="253"/>
      <c r="L413" s="250"/>
      <c r="M413" s="250"/>
      <c r="N413" s="250"/>
      <c r="O413" s="253"/>
      <c r="P413" s="253"/>
      <c r="Q413" s="250"/>
      <c r="R413" s="253"/>
      <c r="S413" s="253"/>
      <c r="T413" s="253"/>
      <c r="U413" s="253"/>
      <c r="V413" s="247"/>
    </row>
    <row r="414" spans="1:22">
      <c r="A414" s="242"/>
      <c r="B414" s="219"/>
      <c r="C414" s="239"/>
      <c r="D414" s="240"/>
      <c r="E414" s="240"/>
      <c r="F414" s="240"/>
      <c r="G414" s="240"/>
      <c r="H414" s="240"/>
      <c r="I414" s="240"/>
      <c r="J414" s="241"/>
      <c r="K414" s="241"/>
      <c r="L414" s="240"/>
      <c r="M414" s="240"/>
      <c r="N414" s="240"/>
      <c r="O414" s="241"/>
      <c r="P414" s="241"/>
      <c r="Q414" s="240"/>
      <c r="R414" s="241"/>
      <c r="S414" s="241"/>
      <c r="T414" s="241"/>
      <c r="U414" s="241"/>
      <c r="V414" s="247"/>
    </row>
    <row r="415" spans="1:22">
      <c r="A415" s="242"/>
      <c r="B415" s="243"/>
      <c r="C415" s="256"/>
      <c r="D415" s="245"/>
      <c r="E415" s="245"/>
      <c r="F415" s="245"/>
      <c r="G415" s="245"/>
      <c r="H415" s="245"/>
      <c r="I415" s="245"/>
      <c r="J415" s="246"/>
      <c r="K415" s="246"/>
      <c r="L415" s="245"/>
      <c r="M415" s="245"/>
      <c r="N415" s="245"/>
      <c r="O415" s="246"/>
      <c r="P415" s="246"/>
      <c r="Q415" s="245"/>
      <c r="R415" s="246"/>
      <c r="S415" s="246"/>
      <c r="T415" s="246"/>
      <c r="U415" s="246"/>
      <c r="V415" s="247"/>
    </row>
    <row r="416" spans="1:22">
      <c r="A416" s="242"/>
      <c r="B416" s="248"/>
      <c r="C416" s="269"/>
      <c r="D416" s="250"/>
      <c r="E416" s="250"/>
      <c r="F416" s="250"/>
      <c r="G416" s="250"/>
      <c r="H416" s="250"/>
      <c r="I416" s="250"/>
      <c r="J416" s="253"/>
      <c r="K416" s="253"/>
      <c r="L416" s="250"/>
      <c r="M416" s="250"/>
      <c r="N416" s="250"/>
      <c r="O416" s="253"/>
      <c r="P416" s="253"/>
      <c r="Q416" s="250"/>
      <c r="R416" s="253"/>
      <c r="S416" s="253"/>
      <c r="T416" s="253"/>
      <c r="U416" s="253"/>
      <c r="V416" s="247"/>
    </row>
    <row r="417" spans="1:22">
      <c r="A417" s="242"/>
      <c r="B417" s="219"/>
      <c r="C417" s="239"/>
      <c r="D417" s="240"/>
      <c r="E417" s="240"/>
      <c r="F417" s="240"/>
      <c r="G417" s="240"/>
      <c r="H417" s="240"/>
      <c r="I417" s="240"/>
      <c r="J417" s="241"/>
      <c r="K417" s="241"/>
      <c r="L417" s="240"/>
      <c r="M417" s="240"/>
      <c r="N417" s="240"/>
      <c r="O417" s="241"/>
      <c r="P417" s="241"/>
      <c r="Q417" s="240"/>
      <c r="R417" s="241"/>
      <c r="S417" s="241"/>
      <c r="T417" s="241"/>
      <c r="U417" s="241"/>
      <c r="V417" s="247"/>
    </row>
    <row r="418" spans="1:22">
      <c r="A418" s="242"/>
      <c r="B418" s="243"/>
      <c r="C418" s="244"/>
      <c r="D418" s="245"/>
      <c r="E418" s="245"/>
      <c r="F418" s="245"/>
      <c r="G418" s="245"/>
      <c r="H418" s="245"/>
      <c r="I418" s="245"/>
      <c r="J418" s="246"/>
      <c r="K418" s="246"/>
      <c r="L418" s="245"/>
      <c r="M418" s="245"/>
      <c r="N418" s="245"/>
      <c r="O418" s="246"/>
      <c r="P418" s="246"/>
      <c r="Q418" s="245"/>
      <c r="R418" s="246"/>
      <c r="S418" s="246"/>
      <c r="T418" s="246"/>
      <c r="U418" s="246"/>
      <c r="V418" s="247"/>
    </row>
    <row r="419" spans="1:22" ht="15.75" thickBot="1">
      <c r="A419" s="242"/>
      <c r="B419" s="257"/>
      <c r="C419" s="258"/>
      <c r="D419" s="259"/>
      <c r="E419" s="259"/>
      <c r="F419" s="259"/>
      <c r="G419" s="259"/>
      <c r="H419" s="259"/>
      <c r="I419" s="259"/>
      <c r="J419" s="260"/>
      <c r="K419" s="260"/>
      <c r="L419" s="259"/>
      <c r="M419" s="259"/>
      <c r="N419" s="259"/>
      <c r="O419" s="260"/>
      <c r="P419" s="260"/>
      <c r="Q419" s="259"/>
      <c r="R419" s="260"/>
      <c r="S419" s="260"/>
      <c r="T419" s="260"/>
      <c r="U419" s="260"/>
      <c r="V419" s="247"/>
    </row>
    <row r="420" spans="1:22" ht="15.75" thickTop="1">
      <c r="A420" s="242"/>
      <c r="B420" s="243"/>
      <c r="C420" s="244"/>
      <c r="D420" s="245"/>
      <c r="E420" s="245"/>
      <c r="F420" s="245"/>
      <c r="G420" s="245"/>
      <c r="H420" s="245"/>
      <c r="I420" s="245"/>
      <c r="J420" s="246"/>
      <c r="K420" s="246"/>
      <c r="L420" s="245"/>
      <c r="M420" s="245"/>
      <c r="N420" s="245"/>
      <c r="O420" s="246"/>
      <c r="P420" s="246"/>
      <c r="Q420" s="245"/>
      <c r="R420" s="246"/>
      <c r="S420" s="246"/>
      <c r="T420" s="246"/>
      <c r="U420" s="246"/>
      <c r="V420" s="247"/>
    </row>
    <row r="421" spans="1:22">
      <c r="A421" s="242"/>
      <c r="B421" s="243"/>
      <c r="C421" s="244"/>
      <c r="D421" s="245"/>
      <c r="E421" s="245"/>
      <c r="F421" s="245"/>
      <c r="G421" s="245"/>
      <c r="H421" s="245"/>
      <c r="I421" s="245"/>
      <c r="J421" s="246"/>
      <c r="K421" s="246"/>
      <c r="L421" s="245"/>
      <c r="M421" s="245"/>
      <c r="N421" s="245"/>
      <c r="O421" s="246"/>
      <c r="P421" s="246"/>
      <c r="Q421" s="245"/>
      <c r="R421" s="246"/>
      <c r="S421" s="246"/>
      <c r="T421" s="246"/>
      <c r="U421" s="246"/>
      <c r="V421" s="247"/>
    </row>
    <row r="422" spans="1:22">
      <c r="A422" s="242"/>
      <c r="B422" s="248"/>
      <c r="C422" s="249"/>
      <c r="D422" s="250"/>
      <c r="E422" s="250"/>
      <c r="F422" s="250"/>
      <c r="G422" s="250"/>
      <c r="H422" s="252"/>
      <c r="I422" s="250"/>
      <c r="J422" s="253"/>
      <c r="K422" s="253"/>
      <c r="L422" s="250"/>
      <c r="M422" s="250"/>
      <c r="N422" s="250"/>
      <c r="O422" s="253"/>
      <c r="P422" s="253"/>
      <c r="Q422" s="250"/>
      <c r="R422" s="253"/>
      <c r="S422" s="253"/>
      <c r="T422" s="253"/>
      <c r="U422" s="253"/>
      <c r="V422" s="247"/>
    </row>
    <row r="423" spans="1:22">
      <c r="A423" s="242"/>
      <c r="B423" s="219"/>
      <c r="C423" s="239"/>
      <c r="D423" s="240"/>
      <c r="E423" s="240"/>
      <c r="F423" s="240"/>
      <c r="G423" s="240"/>
      <c r="H423" s="240"/>
      <c r="I423" s="240"/>
      <c r="J423" s="241"/>
      <c r="K423" s="241"/>
      <c r="L423" s="240"/>
      <c r="M423" s="240"/>
      <c r="N423" s="240"/>
      <c r="O423" s="241"/>
      <c r="P423" s="241"/>
      <c r="Q423" s="240"/>
      <c r="R423" s="241"/>
      <c r="S423" s="241"/>
      <c r="T423" s="241"/>
      <c r="U423" s="241"/>
      <c r="V423" s="247"/>
    </row>
    <row r="424" spans="1:22">
      <c r="A424" s="242"/>
      <c r="B424" s="243"/>
      <c r="C424" s="244"/>
      <c r="D424" s="245"/>
      <c r="E424" s="245"/>
      <c r="F424" s="245"/>
      <c r="G424" s="245"/>
      <c r="H424" s="245"/>
      <c r="I424" s="245"/>
      <c r="J424" s="246"/>
      <c r="K424" s="246"/>
      <c r="L424" s="245"/>
      <c r="M424" s="245"/>
      <c r="N424" s="245"/>
      <c r="O424" s="246"/>
      <c r="P424" s="246"/>
      <c r="Q424" s="245"/>
      <c r="R424" s="246"/>
      <c r="S424" s="246"/>
      <c r="T424" s="246"/>
      <c r="U424" s="246"/>
      <c r="V424" s="247"/>
    </row>
    <row r="425" spans="1:22">
      <c r="A425" s="242"/>
      <c r="B425" s="248"/>
      <c r="C425" s="249"/>
      <c r="D425" s="250"/>
      <c r="E425" s="250"/>
      <c r="F425" s="250"/>
      <c r="G425" s="250"/>
      <c r="H425" s="250"/>
      <c r="I425" s="250"/>
      <c r="J425" s="253"/>
      <c r="K425" s="253"/>
      <c r="L425" s="250"/>
      <c r="M425" s="250"/>
      <c r="N425" s="250"/>
      <c r="O425" s="253"/>
      <c r="P425" s="253"/>
      <c r="Q425" s="250"/>
      <c r="R425" s="253"/>
      <c r="S425" s="253"/>
      <c r="T425" s="253"/>
      <c r="U425" s="253"/>
      <c r="V425" s="247"/>
    </row>
    <row r="426" spans="1:22">
      <c r="A426" s="242"/>
      <c r="B426" s="219"/>
      <c r="C426" s="239"/>
      <c r="D426" s="240"/>
      <c r="E426" s="240"/>
      <c r="F426" s="240"/>
      <c r="G426" s="240"/>
      <c r="H426" s="240"/>
      <c r="I426" s="240"/>
      <c r="J426" s="241"/>
      <c r="K426" s="241"/>
      <c r="L426" s="240"/>
      <c r="M426" s="240"/>
      <c r="N426" s="240"/>
      <c r="O426" s="241"/>
      <c r="P426" s="241"/>
      <c r="Q426" s="240"/>
      <c r="R426" s="241"/>
      <c r="S426" s="241"/>
      <c r="T426" s="241"/>
      <c r="U426" s="241"/>
      <c r="V426" s="247"/>
    </row>
    <row r="427" spans="1:22">
      <c r="A427" s="242"/>
      <c r="B427" s="243"/>
      <c r="C427" s="244"/>
      <c r="D427" s="245"/>
      <c r="E427" s="245"/>
      <c r="F427" s="245"/>
      <c r="G427" s="245"/>
      <c r="H427" s="245"/>
      <c r="I427" s="245"/>
      <c r="J427" s="246"/>
      <c r="K427" s="246"/>
      <c r="L427" s="245"/>
      <c r="M427" s="245"/>
      <c r="N427" s="245"/>
      <c r="O427" s="246"/>
      <c r="P427" s="246"/>
      <c r="Q427" s="245"/>
      <c r="R427" s="246"/>
      <c r="S427" s="246"/>
      <c r="T427" s="246"/>
      <c r="U427" s="246"/>
      <c r="V427" s="247"/>
    </row>
    <row r="428" spans="1:22">
      <c r="A428" s="242"/>
      <c r="B428" s="248"/>
      <c r="C428" s="249"/>
      <c r="D428" s="250"/>
      <c r="E428" s="250"/>
      <c r="F428" s="250"/>
      <c r="G428" s="250"/>
      <c r="H428" s="252"/>
      <c r="I428" s="250"/>
      <c r="J428" s="253"/>
      <c r="K428" s="253"/>
      <c r="L428" s="250"/>
      <c r="M428" s="250"/>
      <c r="N428" s="250"/>
      <c r="O428" s="253"/>
      <c r="P428" s="253"/>
      <c r="Q428" s="250"/>
      <c r="R428" s="253"/>
      <c r="S428" s="253"/>
      <c r="T428" s="253"/>
      <c r="U428" s="253"/>
      <c r="V428" s="247"/>
    </row>
    <row r="429" spans="1:22">
      <c r="A429" s="242"/>
      <c r="B429" s="219"/>
      <c r="C429" s="239"/>
      <c r="D429" s="240"/>
      <c r="E429" s="240"/>
      <c r="F429" s="240"/>
      <c r="G429" s="240"/>
      <c r="H429" s="240"/>
      <c r="I429" s="240"/>
      <c r="J429" s="241"/>
      <c r="K429" s="241"/>
      <c r="L429" s="240"/>
      <c r="M429" s="240"/>
      <c r="N429" s="240"/>
      <c r="O429" s="241"/>
      <c r="P429" s="241"/>
      <c r="Q429" s="240"/>
      <c r="R429" s="241"/>
      <c r="S429" s="241"/>
      <c r="T429" s="241"/>
      <c r="U429" s="241"/>
      <c r="V429" s="247"/>
    </row>
    <row r="430" spans="1:22">
      <c r="A430" s="242"/>
      <c r="B430" s="243"/>
      <c r="C430" s="244"/>
      <c r="D430" s="245"/>
      <c r="E430" s="245"/>
      <c r="F430" s="245"/>
      <c r="G430" s="245"/>
      <c r="H430" s="254"/>
      <c r="I430" s="245"/>
      <c r="J430" s="246"/>
      <c r="K430" s="246"/>
      <c r="L430" s="245"/>
      <c r="M430" s="245"/>
      <c r="N430" s="245"/>
      <c r="O430" s="246"/>
      <c r="P430" s="246"/>
      <c r="Q430" s="245"/>
      <c r="R430" s="246"/>
      <c r="S430" s="246"/>
      <c r="T430" s="246"/>
      <c r="U430" s="246"/>
      <c r="V430" s="247"/>
    </row>
    <row r="431" spans="1:22">
      <c r="A431" s="242"/>
      <c r="B431" s="248"/>
      <c r="C431" s="249"/>
      <c r="D431" s="250"/>
      <c r="E431" s="250"/>
      <c r="F431" s="250"/>
      <c r="G431" s="250"/>
      <c r="H431" s="252"/>
      <c r="I431" s="250"/>
      <c r="J431" s="253"/>
      <c r="K431" s="253"/>
      <c r="L431" s="250"/>
      <c r="M431" s="250"/>
      <c r="N431" s="250"/>
      <c r="O431" s="253"/>
      <c r="P431" s="253"/>
      <c r="Q431" s="250"/>
      <c r="R431" s="253"/>
      <c r="S431" s="253"/>
      <c r="T431" s="253"/>
      <c r="U431" s="253"/>
      <c r="V431" s="247"/>
    </row>
    <row r="432" spans="1:22">
      <c r="A432" s="242"/>
      <c r="B432" s="219"/>
      <c r="C432" s="239"/>
      <c r="D432" s="240"/>
      <c r="E432" s="240"/>
      <c r="F432" s="240"/>
      <c r="G432" s="240"/>
      <c r="H432" s="240"/>
      <c r="I432" s="240"/>
      <c r="J432" s="241"/>
      <c r="K432" s="241"/>
      <c r="L432" s="240"/>
      <c r="M432" s="240"/>
      <c r="N432" s="240"/>
      <c r="O432" s="241"/>
      <c r="P432" s="241"/>
      <c r="Q432" s="240"/>
      <c r="R432" s="241"/>
      <c r="S432" s="241"/>
      <c r="T432" s="241"/>
      <c r="U432" s="241"/>
      <c r="V432" s="247"/>
    </row>
    <row r="433" spans="1:22">
      <c r="A433" s="242"/>
      <c r="B433" s="243"/>
      <c r="C433" s="244"/>
      <c r="D433" s="245"/>
      <c r="E433" s="245"/>
      <c r="F433" s="245"/>
      <c r="G433" s="245"/>
      <c r="H433" s="254"/>
      <c r="I433" s="245"/>
      <c r="J433" s="246"/>
      <c r="K433" s="246"/>
      <c r="L433" s="245"/>
      <c r="M433" s="245"/>
      <c r="N433" s="245"/>
      <c r="O433" s="246"/>
      <c r="P433" s="246"/>
      <c r="Q433" s="245"/>
      <c r="R433" s="246"/>
      <c r="S433" s="246"/>
      <c r="T433" s="246"/>
      <c r="U433" s="246"/>
      <c r="V433" s="247"/>
    </row>
    <row r="434" spans="1:22">
      <c r="A434" s="242"/>
      <c r="B434" s="248"/>
      <c r="C434" s="249"/>
      <c r="D434" s="250"/>
      <c r="E434" s="250"/>
      <c r="F434" s="250"/>
      <c r="G434" s="250"/>
      <c r="H434" s="250"/>
      <c r="I434" s="250"/>
      <c r="J434" s="253"/>
      <c r="K434" s="253"/>
      <c r="L434" s="250"/>
      <c r="M434" s="250"/>
      <c r="N434" s="250"/>
      <c r="O434" s="253"/>
      <c r="P434" s="253"/>
      <c r="Q434" s="250"/>
      <c r="R434" s="253"/>
      <c r="S434" s="253"/>
      <c r="T434" s="253"/>
      <c r="U434" s="253"/>
      <c r="V434" s="247"/>
    </row>
    <row r="435" spans="1:22">
      <c r="A435" s="242"/>
      <c r="B435" s="219"/>
      <c r="C435" s="239"/>
      <c r="D435" s="240"/>
      <c r="E435" s="240"/>
      <c r="F435" s="240"/>
      <c r="G435" s="240"/>
      <c r="H435" s="240"/>
      <c r="I435" s="240"/>
      <c r="J435" s="241"/>
      <c r="K435" s="241"/>
      <c r="L435" s="240"/>
      <c r="M435" s="240"/>
      <c r="N435" s="240"/>
      <c r="O435" s="241"/>
      <c r="P435" s="241"/>
      <c r="Q435" s="240"/>
      <c r="R435" s="241"/>
      <c r="S435" s="241"/>
      <c r="T435" s="241"/>
      <c r="U435" s="241"/>
      <c r="V435" s="247"/>
    </row>
    <row r="436" spans="1:22">
      <c r="A436" s="242"/>
      <c r="B436" s="243"/>
      <c r="C436" s="244"/>
      <c r="D436" s="245"/>
      <c r="E436" s="245"/>
      <c r="F436" s="245"/>
      <c r="G436" s="245"/>
      <c r="H436" s="245"/>
      <c r="I436" s="245"/>
      <c r="J436" s="246"/>
      <c r="K436" s="246"/>
      <c r="L436" s="245"/>
      <c r="M436" s="245"/>
      <c r="N436" s="245"/>
      <c r="O436" s="246"/>
      <c r="P436" s="246"/>
      <c r="Q436" s="245"/>
      <c r="R436" s="246"/>
      <c r="S436" s="246"/>
      <c r="T436" s="246"/>
      <c r="U436" s="246"/>
      <c r="V436" s="247"/>
    </row>
    <row r="437" spans="1:22" ht="15.75" thickBot="1">
      <c r="A437" s="261"/>
      <c r="B437" s="262"/>
      <c r="C437" s="263"/>
      <c r="D437" s="264"/>
      <c r="E437" s="264"/>
      <c r="F437" s="264"/>
      <c r="G437" s="264"/>
      <c r="H437" s="264"/>
      <c r="I437" s="264"/>
      <c r="J437" s="265"/>
      <c r="K437" s="265"/>
      <c r="L437" s="264"/>
      <c r="M437" s="264"/>
      <c r="N437" s="264"/>
      <c r="O437" s="265"/>
      <c r="P437" s="265"/>
      <c r="Q437" s="264"/>
      <c r="R437" s="265"/>
      <c r="S437" s="265"/>
      <c r="T437" s="265"/>
      <c r="U437" s="265"/>
      <c r="V437" s="247"/>
    </row>
    <row r="438" spans="1:22">
      <c r="A438" s="238"/>
      <c r="B438" s="219"/>
      <c r="C438" s="239"/>
      <c r="D438" s="240"/>
      <c r="E438" s="240"/>
      <c r="F438" s="240"/>
      <c r="G438" s="240"/>
      <c r="H438" s="240"/>
      <c r="I438" s="240"/>
      <c r="J438" s="241"/>
      <c r="K438" s="241"/>
      <c r="L438" s="240"/>
      <c r="M438" s="240"/>
      <c r="N438" s="240"/>
      <c r="O438" s="241"/>
      <c r="P438" s="241"/>
      <c r="Q438" s="240"/>
      <c r="R438" s="241"/>
      <c r="S438" s="241"/>
      <c r="T438" s="241"/>
      <c r="U438" s="241"/>
      <c r="V438" s="247"/>
    </row>
    <row r="439" spans="1:22">
      <c r="A439" s="242"/>
      <c r="B439" s="243"/>
      <c r="C439" s="244"/>
      <c r="D439" s="245"/>
      <c r="E439" s="245"/>
      <c r="F439" s="245"/>
      <c r="G439" s="245"/>
      <c r="H439" s="245"/>
      <c r="I439" s="245"/>
      <c r="J439" s="246"/>
      <c r="K439" s="246"/>
      <c r="L439" s="245"/>
      <c r="M439" s="245"/>
      <c r="N439" s="245"/>
      <c r="O439" s="246"/>
      <c r="P439" s="246"/>
      <c r="Q439" s="245"/>
      <c r="R439" s="246"/>
      <c r="S439" s="246"/>
      <c r="T439" s="246"/>
      <c r="U439" s="246"/>
      <c r="V439" s="247"/>
    </row>
    <row r="440" spans="1:22">
      <c r="A440" s="242"/>
      <c r="B440" s="248"/>
      <c r="C440" s="249"/>
      <c r="D440" s="250"/>
      <c r="E440" s="250"/>
      <c r="F440" s="250"/>
      <c r="G440" s="250"/>
      <c r="H440" s="250"/>
      <c r="I440" s="250"/>
      <c r="J440" s="253"/>
      <c r="K440" s="253"/>
      <c r="L440" s="250"/>
      <c r="M440" s="250"/>
      <c r="N440" s="250"/>
      <c r="O440" s="253"/>
      <c r="P440" s="253"/>
      <c r="Q440" s="250"/>
      <c r="R440" s="253"/>
      <c r="S440" s="253"/>
      <c r="T440" s="253"/>
      <c r="U440" s="253"/>
      <c r="V440" s="247"/>
    </row>
    <row r="441" spans="1:22">
      <c r="A441" s="242"/>
      <c r="B441" s="219"/>
      <c r="C441" s="239"/>
      <c r="D441" s="240"/>
      <c r="E441" s="240"/>
      <c r="F441" s="240"/>
      <c r="G441" s="240"/>
      <c r="H441" s="240"/>
      <c r="I441" s="240"/>
      <c r="J441" s="241"/>
      <c r="K441" s="241"/>
      <c r="L441" s="240"/>
      <c r="M441" s="240"/>
      <c r="N441" s="240"/>
      <c r="O441" s="241"/>
      <c r="P441" s="241"/>
      <c r="Q441" s="240"/>
      <c r="R441" s="241"/>
      <c r="S441" s="241"/>
      <c r="T441" s="241"/>
      <c r="U441" s="241"/>
      <c r="V441" s="247"/>
    </row>
    <row r="442" spans="1:22">
      <c r="A442" s="242"/>
      <c r="B442" s="243"/>
      <c r="C442" s="244"/>
      <c r="D442" s="245"/>
      <c r="E442" s="245"/>
      <c r="F442" s="245"/>
      <c r="G442" s="245"/>
      <c r="H442" s="245"/>
      <c r="I442" s="245"/>
      <c r="J442" s="246"/>
      <c r="K442" s="246"/>
      <c r="L442" s="245"/>
      <c r="M442" s="245"/>
      <c r="N442" s="245"/>
      <c r="O442" s="246"/>
      <c r="P442" s="246"/>
      <c r="Q442" s="245"/>
      <c r="R442" s="246"/>
      <c r="S442" s="246"/>
      <c r="T442" s="246"/>
      <c r="U442" s="246"/>
      <c r="V442" s="247"/>
    </row>
    <row r="443" spans="1:22">
      <c r="A443" s="242"/>
      <c r="B443" s="248"/>
      <c r="C443" s="249"/>
      <c r="D443" s="250"/>
      <c r="E443" s="250"/>
      <c r="F443" s="250"/>
      <c r="G443" s="250"/>
      <c r="H443" s="250"/>
      <c r="I443" s="250"/>
      <c r="J443" s="253"/>
      <c r="K443" s="253"/>
      <c r="L443" s="250"/>
      <c r="M443" s="250"/>
      <c r="N443" s="250"/>
      <c r="O443" s="253"/>
      <c r="P443" s="253"/>
      <c r="Q443" s="250"/>
      <c r="R443" s="253"/>
      <c r="S443" s="253"/>
      <c r="T443" s="253"/>
      <c r="U443" s="253"/>
      <c r="V443" s="247"/>
    </row>
    <row r="444" spans="1:22">
      <c r="A444" s="242"/>
      <c r="B444" s="219"/>
      <c r="C444" s="239"/>
      <c r="D444" s="240"/>
      <c r="E444" s="240"/>
      <c r="F444" s="240"/>
      <c r="G444" s="240"/>
      <c r="H444" s="240"/>
      <c r="I444" s="240"/>
      <c r="J444" s="241"/>
      <c r="K444" s="241"/>
      <c r="L444" s="240"/>
      <c r="M444" s="240"/>
      <c r="N444" s="240"/>
      <c r="O444" s="241"/>
      <c r="P444" s="241"/>
      <c r="Q444" s="240"/>
      <c r="R444" s="241"/>
      <c r="S444" s="241"/>
      <c r="T444" s="241"/>
      <c r="U444" s="241"/>
      <c r="V444" s="247"/>
    </row>
    <row r="445" spans="1:22">
      <c r="A445" s="242"/>
      <c r="B445" s="243"/>
      <c r="C445" s="244"/>
      <c r="D445" s="245"/>
      <c r="E445" s="245"/>
      <c r="F445" s="245"/>
      <c r="G445" s="245"/>
      <c r="H445" s="245"/>
      <c r="I445" s="245"/>
      <c r="J445" s="246"/>
      <c r="K445" s="246"/>
      <c r="L445" s="245"/>
      <c r="M445" s="245"/>
      <c r="N445" s="245"/>
      <c r="O445" s="246"/>
      <c r="P445" s="246"/>
      <c r="Q445" s="245"/>
      <c r="R445" s="246"/>
      <c r="S445" s="246"/>
      <c r="T445" s="246"/>
      <c r="U445" s="246"/>
      <c r="V445" s="247"/>
    </row>
    <row r="446" spans="1:22">
      <c r="A446" s="242"/>
      <c r="B446" s="248"/>
      <c r="C446" s="249"/>
      <c r="D446" s="250"/>
      <c r="E446" s="250"/>
      <c r="F446" s="250"/>
      <c r="G446" s="250"/>
      <c r="H446" s="250"/>
      <c r="I446" s="250"/>
      <c r="J446" s="253"/>
      <c r="K446" s="253"/>
      <c r="L446" s="250"/>
      <c r="M446" s="250"/>
      <c r="N446" s="250"/>
      <c r="O446" s="253"/>
      <c r="P446" s="253"/>
      <c r="Q446" s="250"/>
      <c r="R446" s="253"/>
      <c r="S446" s="253"/>
      <c r="T446" s="253"/>
      <c r="U446" s="253"/>
      <c r="V446" s="247"/>
    </row>
    <row r="447" spans="1:22">
      <c r="A447" s="242"/>
      <c r="B447" s="219"/>
      <c r="C447" s="239"/>
      <c r="D447" s="240"/>
      <c r="E447" s="240"/>
      <c r="F447" s="240"/>
      <c r="G447" s="240"/>
      <c r="H447" s="240"/>
      <c r="I447" s="240"/>
      <c r="J447" s="241"/>
      <c r="K447" s="241"/>
      <c r="L447" s="240"/>
      <c r="M447" s="240"/>
      <c r="N447" s="240"/>
      <c r="O447" s="241"/>
      <c r="P447" s="241"/>
      <c r="Q447" s="240"/>
      <c r="R447" s="241"/>
      <c r="S447" s="241"/>
      <c r="T447" s="241"/>
      <c r="U447" s="241"/>
      <c r="V447" s="247"/>
    </row>
    <row r="448" spans="1:22">
      <c r="A448" s="242"/>
      <c r="B448" s="243"/>
      <c r="C448" s="244"/>
      <c r="D448" s="245"/>
      <c r="E448" s="245"/>
      <c r="F448" s="245"/>
      <c r="G448" s="245"/>
      <c r="H448" s="245"/>
      <c r="I448" s="245"/>
      <c r="J448" s="246"/>
      <c r="K448" s="246"/>
      <c r="L448" s="245"/>
      <c r="M448" s="254"/>
      <c r="N448" s="245"/>
      <c r="O448" s="246"/>
      <c r="P448" s="246"/>
      <c r="Q448" s="245"/>
      <c r="R448" s="246"/>
      <c r="S448" s="246"/>
      <c r="T448" s="246"/>
      <c r="U448" s="246"/>
      <c r="V448" s="247"/>
    </row>
    <row r="449" spans="1:22">
      <c r="A449" s="242"/>
      <c r="B449" s="248"/>
      <c r="C449" s="249"/>
      <c r="D449" s="250"/>
      <c r="E449" s="250"/>
      <c r="F449" s="250"/>
      <c r="G449" s="250"/>
      <c r="H449" s="250"/>
      <c r="I449" s="250"/>
      <c r="J449" s="253"/>
      <c r="K449" s="253"/>
      <c r="L449" s="250"/>
      <c r="M449" s="252"/>
      <c r="N449" s="250"/>
      <c r="O449" s="253"/>
      <c r="P449" s="253"/>
      <c r="Q449" s="250"/>
      <c r="R449" s="253"/>
      <c r="S449" s="253"/>
      <c r="T449" s="253"/>
      <c r="U449" s="253"/>
      <c r="V449" s="247"/>
    </row>
    <row r="450" spans="1:22">
      <c r="A450" s="242"/>
      <c r="B450" s="219"/>
      <c r="C450" s="239"/>
      <c r="D450" s="240"/>
      <c r="E450" s="240"/>
      <c r="F450" s="240"/>
      <c r="G450" s="240"/>
      <c r="H450" s="240"/>
      <c r="I450" s="240"/>
      <c r="J450" s="241"/>
      <c r="K450" s="241"/>
      <c r="L450" s="240"/>
      <c r="M450" s="240"/>
      <c r="N450" s="240"/>
      <c r="O450" s="241"/>
      <c r="P450" s="241"/>
      <c r="Q450" s="240"/>
      <c r="R450" s="241"/>
      <c r="S450" s="241"/>
      <c r="T450" s="241"/>
      <c r="U450" s="241"/>
      <c r="V450" s="247"/>
    </row>
    <row r="451" spans="1:22">
      <c r="A451" s="242"/>
      <c r="B451" s="243"/>
      <c r="C451" s="244"/>
      <c r="D451" s="245"/>
      <c r="E451" s="245"/>
      <c r="F451" s="245"/>
      <c r="G451" s="245"/>
      <c r="H451" s="245"/>
      <c r="I451" s="245"/>
      <c r="J451" s="246"/>
      <c r="K451" s="246"/>
      <c r="L451" s="245"/>
      <c r="M451" s="245"/>
      <c r="N451" s="245"/>
      <c r="O451" s="246"/>
      <c r="P451" s="246"/>
      <c r="Q451" s="245"/>
      <c r="R451" s="246"/>
      <c r="S451" s="246"/>
      <c r="T451" s="246"/>
      <c r="U451" s="246"/>
      <c r="V451" s="247"/>
    </row>
    <row r="452" spans="1:22">
      <c r="A452" s="242"/>
      <c r="B452" s="248"/>
      <c r="C452" s="249"/>
      <c r="D452" s="250"/>
      <c r="E452" s="250"/>
      <c r="F452" s="250"/>
      <c r="G452" s="250"/>
      <c r="H452" s="250"/>
      <c r="I452" s="250"/>
      <c r="J452" s="253"/>
      <c r="K452" s="253"/>
      <c r="L452" s="250"/>
      <c r="M452" s="250"/>
      <c r="N452" s="250"/>
      <c r="O452" s="253"/>
      <c r="P452" s="253"/>
      <c r="Q452" s="250"/>
      <c r="R452" s="253"/>
      <c r="S452" s="253"/>
      <c r="T452" s="253"/>
      <c r="U452" s="253"/>
      <c r="V452" s="247"/>
    </row>
    <row r="453" spans="1:22">
      <c r="A453" s="242"/>
      <c r="B453" s="219"/>
      <c r="C453" s="239"/>
      <c r="D453" s="240"/>
      <c r="E453" s="240"/>
      <c r="F453" s="240"/>
      <c r="G453" s="240"/>
      <c r="H453" s="240"/>
      <c r="I453" s="240"/>
      <c r="J453" s="241"/>
      <c r="K453" s="241"/>
      <c r="L453" s="240"/>
      <c r="M453" s="240"/>
      <c r="N453" s="240"/>
      <c r="O453" s="241"/>
      <c r="P453" s="241"/>
      <c r="Q453" s="240"/>
      <c r="R453" s="241"/>
      <c r="S453" s="241"/>
      <c r="T453" s="241"/>
      <c r="U453" s="241"/>
      <c r="V453" s="247"/>
    </row>
    <row r="454" spans="1:22">
      <c r="A454" s="242"/>
      <c r="B454" s="243"/>
      <c r="C454" s="244"/>
      <c r="D454" s="245"/>
      <c r="E454" s="245"/>
      <c r="F454" s="245"/>
      <c r="G454" s="245"/>
      <c r="H454" s="245"/>
      <c r="I454" s="245"/>
      <c r="J454" s="246"/>
      <c r="K454" s="246"/>
      <c r="L454" s="245"/>
      <c r="M454" s="245"/>
      <c r="N454" s="245"/>
      <c r="O454" s="246"/>
      <c r="P454" s="246"/>
      <c r="Q454" s="245"/>
      <c r="R454" s="246"/>
      <c r="S454" s="246"/>
      <c r="T454" s="246"/>
      <c r="U454" s="246"/>
      <c r="V454" s="247"/>
    </row>
    <row r="455" spans="1:22" ht="15.75" thickBot="1">
      <c r="A455" s="242"/>
      <c r="B455" s="257"/>
      <c r="C455" s="258"/>
      <c r="D455" s="259"/>
      <c r="E455" s="259"/>
      <c r="F455" s="259"/>
      <c r="G455" s="259"/>
      <c r="H455" s="259"/>
      <c r="I455" s="259"/>
      <c r="J455" s="260"/>
      <c r="K455" s="260"/>
      <c r="L455" s="259"/>
      <c r="M455" s="259"/>
      <c r="N455" s="259"/>
      <c r="O455" s="260"/>
      <c r="P455" s="260"/>
      <c r="Q455" s="259"/>
      <c r="R455" s="260"/>
      <c r="S455" s="260"/>
      <c r="T455" s="260"/>
      <c r="U455" s="260"/>
      <c r="V455" s="247"/>
    </row>
    <row r="456" spans="1:22" ht="15.75" thickTop="1">
      <c r="A456" s="242"/>
      <c r="B456" s="243"/>
      <c r="C456" s="244"/>
      <c r="D456" s="245"/>
      <c r="E456" s="245"/>
      <c r="F456" s="245"/>
      <c r="G456" s="245"/>
      <c r="H456" s="245"/>
      <c r="I456" s="245"/>
      <c r="J456" s="246"/>
      <c r="K456" s="246"/>
      <c r="L456" s="245"/>
      <c r="M456" s="245"/>
      <c r="N456" s="245"/>
      <c r="O456" s="246"/>
      <c r="P456" s="246"/>
      <c r="Q456" s="245"/>
      <c r="R456" s="246"/>
      <c r="S456" s="246"/>
      <c r="T456" s="246"/>
      <c r="U456" s="246"/>
      <c r="V456" s="247"/>
    </row>
    <row r="457" spans="1:22">
      <c r="A457" s="242"/>
      <c r="B457" s="243"/>
      <c r="C457" s="244"/>
      <c r="D457" s="245"/>
      <c r="E457" s="245"/>
      <c r="F457" s="245"/>
      <c r="G457" s="245"/>
      <c r="H457" s="245"/>
      <c r="I457" s="245"/>
      <c r="J457" s="246"/>
      <c r="K457" s="246"/>
      <c r="L457" s="245"/>
      <c r="M457" s="245"/>
      <c r="N457" s="245"/>
      <c r="O457" s="246"/>
      <c r="P457" s="246"/>
      <c r="Q457" s="245"/>
      <c r="R457" s="246"/>
      <c r="S457" s="246"/>
      <c r="T457" s="246"/>
      <c r="U457" s="246"/>
      <c r="V457" s="247"/>
    </row>
    <row r="458" spans="1:22">
      <c r="A458" s="242"/>
      <c r="B458" s="248"/>
      <c r="C458" s="249"/>
      <c r="D458" s="250"/>
      <c r="E458" s="250"/>
      <c r="F458" s="250"/>
      <c r="G458" s="250"/>
      <c r="H458" s="250"/>
      <c r="I458" s="250"/>
      <c r="J458" s="253"/>
      <c r="K458" s="253"/>
      <c r="L458" s="250"/>
      <c r="M458" s="250"/>
      <c r="N458" s="250"/>
      <c r="O458" s="253"/>
      <c r="P458" s="253"/>
      <c r="Q458" s="250"/>
      <c r="R458" s="253"/>
      <c r="S458" s="253"/>
      <c r="T458" s="253"/>
      <c r="U458" s="253"/>
      <c r="V458" s="247"/>
    </row>
    <row r="459" spans="1:22">
      <c r="A459" s="242"/>
      <c r="B459" s="219"/>
      <c r="C459" s="239"/>
      <c r="D459" s="240"/>
      <c r="E459" s="240"/>
      <c r="F459" s="240"/>
      <c r="G459" s="240"/>
      <c r="H459" s="240"/>
      <c r="I459" s="240"/>
      <c r="J459" s="241"/>
      <c r="K459" s="241"/>
      <c r="L459" s="240"/>
      <c r="M459" s="240"/>
      <c r="N459" s="240"/>
      <c r="O459" s="241"/>
      <c r="P459" s="241"/>
      <c r="Q459" s="240"/>
      <c r="R459" s="241"/>
      <c r="S459" s="241"/>
      <c r="T459" s="241"/>
      <c r="U459" s="241"/>
      <c r="V459" s="247"/>
    </row>
    <row r="460" spans="1:22">
      <c r="A460" s="242"/>
      <c r="B460" s="243"/>
      <c r="C460" s="244"/>
      <c r="D460" s="245"/>
      <c r="E460" s="245"/>
      <c r="F460" s="245"/>
      <c r="G460" s="254"/>
      <c r="H460" s="245"/>
      <c r="I460" s="245"/>
      <c r="J460" s="246"/>
      <c r="K460" s="246"/>
      <c r="L460" s="245"/>
      <c r="M460" s="245"/>
      <c r="N460" s="245"/>
      <c r="O460" s="246"/>
      <c r="P460" s="246"/>
      <c r="Q460" s="245"/>
      <c r="R460" s="246"/>
      <c r="S460" s="246"/>
      <c r="T460" s="246"/>
      <c r="U460" s="246"/>
      <c r="V460" s="247"/>
    </row>
    <row r="461" spans="1:22">
      <c r="A461" s="242"/>
      <c r="B461" s="248"/>
      <c r="C461" s="249"/>
      <c r="D461" s="250"/>
      <c r="E461" s="250"/>
      <c r="F461" s="250"/>
      <c r="G461" s="250"/>
      <c r="H461" s="250"/>
      <c r="I461" s="250"/>
      <c r="J461" s="253"/>
      <c r="K461" s="253"/>
      <c r="L461" s="250"/>
      <c r="M461" s="250"/>
      <c r="N461" s="250"/>
      <c r="O461" s="253"/>
      <c r="P461" s="253"/>
      <c r="Q461" s="250"/>
      <c r="R461" s="253"/>
      <c r="S461" s="253"/>
      <c r="T461" s="253"/>
      <c r="U461" s="253"/>
      <c r="V461" s="247"/>
    </row>
    <row r="462" spans="1:22">
      <c r="A462" s="242"/>
      <c r="B462" s="219"/>
      <c r="C462" s="239"/>
      <c r="D462" s="240"/>
      <c r="E462" s="240"/>
      <c r="F462" s="240"/>
      <c r="G462" s="240"/>
      <c r="H462" s="240"/>
      <c r="I462" s="240"/>
      <c r="J462" s="241"/>
      <c r="K462" s="241"/>
      <c r="L462" s="240"/>
      <c r="M462" s="240"/>
      <c r="N462" s="240"/>
      <c r="O462" s="241"/>
      <c r="P462" s="241"/>
      <c r="Q462" s="240"/>
      <c r="R462" s="241"/>
      <c r="S462" s="241"/>
      <c r="T462" s="241"/>
      <c r="U462" s="241"/>
      <c r="V462" s="247"/>
    </row>
    <row r="463" spans="1:22">
      <c r="A463" s="242"/>
      <c r="B463" s="243"/>
      <c r="C463" s="244"/>
      <c r="D463" s="245"/>
      <c r="E463" s="245"/>
      <c r="F463" s="245"/>
      <c r="G463" s="245"/>
      <c r="H463" s="245"/>
      <c r="I463" s="245"/>
      <c r="J463" s="246"/>
      <c r="K463" s="246"/>
      <c r="L463" s="245"/>
      <c r="M463" s="245"/>
      <c r="N463" s="245"/>
      <c r="O463" s="246"/>
      <c r="P463" s="246"/>
      <c r="Q463" s="245"/>
      <c r="R463" s="246"/>
      <c r="S463" s="246"/>
      <c r="T463" s="246"/>
      <c r="U463" s="246"/>
      <c r="V463" s="247"/>
    </row>
    <row r="464" spans="1:22">
      <c r="A464" s="242"/>
      <c r="B464" s="248"/>
      <c r="C464" s="249"/>
      <c r="D464" s="250"/>
      <c r="E464" s="250"/>
      <c r="F464" s="250"/>
      <c r="G464" s="250"/>
      <c r="H464" s="250"/>
      <c r="I464" s="250"/>
      <c r="J464" s="253"/>
      <c r="K464" s="253"/>
      <c r="L464" s="250"/>
      <c r="M464" s="250"/>
      <c r="N464" s="250"/>
      <c r="O464" s="253"/>
      <c r="P464" s="253"/>
      <c r="Q464" s="250"/>
      <c r="R464" s="253"/>
      <c r="S464" s="253"/>
      <c r="T464" s="253"/>
      <c r="U464" s="253"/>
      <c r="V464" s="247"/>
    </row>
    <row r="465" spans="1:22">
      <c r="A465" s="242"/>
      <c r="B465" s="219"/>
      <c r="C465" s="239"/>
      <c r="D465" s="240"/>
      <c r="E465" s="240"/>
      <c r="F465" s="240"/>
      <c r="G465" s="240"/>
      <c r="H465" s="240"/>
      <c r="I465" s="240"/>
      <c r="J465" s="241"/>
      <c r="K465" s="241"/>
      <c r="L465" s="240"/>
      <c r="M465" s="240"/>
      <c r="N465" s="240"/>
      <c r="O465" s="241"/>
      <c r="P465" s="241"/>
      <c r="Q465" s="240"/>
      <c r="R465" s="241"/>
      <c r="S465" s="241"/>
      <c r="T465" s="241"/>
      <c r="U465" s="241"/>
      <c r="V465" s="247"/>
    </row>
    <row r="466" spans="1:22">
      <c r="A466" s="242"/>
      <c r="B466" s="243"/>
      <c r="C466" s="244"/>
      <c r="D466" s="245"/>
      <c r="E466" s="245"/>
      <c r="F466" s="245"/>
      <c r="G466" s="245"/>
      <c r="H466" s="245"/>
      <c r="I466" s="245"/>
      <c r="J466" s="246"/>
      <c r="K466" s="246"/>
      <c r="L466" s="245"/>
      <c r="M466" s="245"/>
      <c r="N466" s="245"/>
      <c r="O466" s="246"/>
      <c r="P466" s="246"/>
      <c r="Q466" s="245"/>
      <c r="R466" s="246"/>
      <c r="S466" s="246"/>
      <c r="T466" s="246"/>
      <c r="U466" s="246"/>
      <c r="V466" s="247"/>
    </row>
    <row r="467" spans="1:22">
      <c r="A467" s="242"/>
      <c r="B467" s="248"/>
      <c r="C467" s="249"/>
      <c r="D467" s="250"/>
      <c r="E467" s="250"/>
      <c r="F467" s="250"/>
      <c r="G467" s="250"/>
      <c r="H467" s="250"/>
      <c r="I467" s="250"/>
      <c r="J467" s="253"/>
      <c r="K467" s="253"/>
      <c r="L467" s="250"/>
      <c r="M467" s="250"/>
      <c r="N467" s="250"/>
      <c r="O467" s="253"/>
      <c r="P467" s="253"/>
      <c r="Q467" s="250"/>
      <c r="R467" s="253"/>
      <c r="S467" s="253"/>
      <c r="T467" s="253"/>
      <c r="U467" s="253"/>
      <c r="V467" s="247"/>
    </row>
    <row r="468" spans="1:22">
      <c r="A468" s="242"/>
      <c r="B468" s="219"/>
      <c r="C468" s="239"/>
      <c r="D468" s="240"/>
      <c r="E468" s="240"/>
      <c r="F468" s="240"/>
      <c r="G468" s="240"/>
      <c r="H468" s="240"/>
      <c r="I468" s="240"/>
      <c r="J468" s="241"/>
      <c r="K468" s="241"/>
      <c r="L468" s="240"/>
      <c r="M468" s="240"/>
      <c r="N468" s="240"/>
      <c r="O468" s="241"/>
      <c r="P468" s="241"/>
      <c r="Q468" s="240"/>
      <c r="R468" s="241"/>
      <c r="S468" s="241"/>
      <c r="T468" s="241"/>
      <c r="U468" s="241"/>
      <c r="V468" s="247"/>
    </row>
    <row r="469" spans="1:22">
      <c r="A469" s="242"/>
      <c r="B469" s="243"/>
      <c r="C469" s="244"/>
      <c r="D469" s="245"/>
      <c r="E469" s="245"/>
      <c r="F469" s="245"/>
      <c r="G469" s="245"/>
      <c r="H469" s="245"/>
      <c r="I469" s="245"/>
      <c r="J469" s="246"/>
      <c r="K469" s="246"/>
      <c r="L469" s="245"/>
      <c r="M469" s="245"/>
      <c r="N469" s="245"/>
      <c r="O469" s="246"/>
      <c r="P469" s="246"/>
      <c r="Q469" s="245"/>
      <c r="R469" s="246"/>
      <c r="S469" s="246"/>
      <c r="T469" s="246"/>
      <c r="U469" s="246"/>
      <c r="V469" s="247"/>
    </row>
    <row r="470" spans="1:22">
      <c r="A470" s="242"/>
      <c r="B470" s="248"/>
      <c r="C470" s="249"/>
      <c r="D470" s="250"/>
      <c r="E470" s="250"/>
      <c r="F470" s="250"/>
      <c r="G470" s="250"/>
      <c r="H470" s="250"/>
      <c r="I470" s="250"/>
      <c r="J470" s="253"/>
      <c r="K470" s="253"/>
      <c r="L470" s="250"/>
      <c r="M470" s="250"/>
      <c r="N470" s="250"/>
      <c r="O470" s="253"/>
      <c r="P470" s="253"/>
      <c r="Q470" s="250"/>
      <c r="R470" s="253"/>
      <c r="S470" s="253"/>
      <c r="T470" s="253"/>
      <c r="U470" s="253"/>
      <c r="V470" s="247"/>
    </row>
    <row r="471" spans="1:22">
      <c r="A471" s="242"/>
      <c r="B471" s="219"/>
      <c r="C471" s="239"/>
      <c r="D471" s="240"/>
      <c r="E471" s="240"/>
      <c r="F471" s="240"/>
      <c r="G471" s="240"/>
      <c r="H471" s="240"/>
      <c r="I471" s="240"/>
      <c r="J471" s="241"/>
      <c r="K471" s="241"/>
      <c r="L471" s="240"/>
      <c r="M471" s="240"/>
      <c r="N471" s="240"/>
      <c r="O471" s="241"/>
      <c r="P471" s="241"/>
      <c r="Q471" s="240"/>
      <c r="R471" s="241"/>
      <c r="S471" s="241"/>
      <c r="T471" s="241"/>
      <c r="U471" s="241"/>
      <c r="V471" s="247"/>
    </row>
    <row r="472" spans="1:22">
      <c r="A472" s="242"/>
      <c r="B472" s="243"/>
      <c r="C472" s="244"/>
      <c r="D472" s="245"/>
      <c r="E472" s="245"/>
      <c r="F472" s="245"/>
      <c r="G472" s="245"/>
      <c r="H472" s="245"/>
      <c r="I472" s="245"/>
      <c r="J472" s="246"/>
      <c r="K472" s="246"/>
      <c r="L472" s="245"/>
      <c r="M472" s="245"/>
      <c r="N472" s="245"/>
      <c r="O472" s="246"/>
      <c r="P472" s="246"/>
      <c r="Q472" s="245"/>
      <c r="R472" s="246"/>
      <c r="S472" s="246"/>
      <c r="T472" s="246"/>
      <c r="U472" s="246"/>
      <c r="V472" s="247"/>
    </row>
    <row r="473" spans="1:22" ht="15.75" thickBot="1">
      <c r="A473" s="261"/>
      <c r="B473" s="262"/>
      <c r="C473" s="263"/>
      <c r="D473" s="264"/>
      <c r="E473" s="264"/>
      <c r="F473" s="264"/>
      <c r="G473" s="264"/>
      <c r="H473" s="264"/>
      <c r="I473" s="264"/>
      <c r="J473" s="265"/>
      <c r="K473" s="265"/>
      <c r="L473" s="264"/>
      <c r="M473" s="264"/>
      <c r="N473" s="264"/>
      <c r="O473" s="265"/>
      <c r="P473" s="265"/>
      <c r="Q473" s="264"/>
      <c r="R473" s="265"/>
      <c r="S473" s="265"/>
      <c r="T473" s="265"/>
      <c r="U473" s="265"/>
      <c r="V473" s="247"/>
    </row>
    <row r="474" spans="1:22">
      <c r="A474" s="238"/>
      <c r="B474" s="219"/>
      <c r="C474" s="239"/>
      <c r="D474" s="240"/>
      <c r="E474" s="240"/>
      <c r="F474" s="240"/>
      <c r="G474" s="240"/>
      <c r="H474" s="240"/>
      <c r="I474" s="240"/>
      <c r="J474" s="241"/>
      <c r="K474" s="241"/>
      <c r="L474" s="240"/>
      <c r="M474" s="240"/>
      <c r="N474" s="240"/>
      <c r="O474" s="241"/>
      <c r="P474" s="241"/>
      <c r="Q474" s="240"/>
      <c r="R474" s="241"/>
      <c r="S474" s="241"/>
      <c r="T474" s="241"/>
      <c r="U474" s="241"/>
      <c r="V474" s="247"/>
    </row>
    <row r="475" spans="1:22">
      <c r="A475" s="242"/>
      <c r="B475" s="243"/>
      <c r="C475" s="244"/>
      <c r="D475" s="245"/>
      <c r="E475" s="245"/>
      <c r="F475" s="245"/>
      <c r="G475" s="245"/>
      <c r="H475" s="245"/>
      <c r="I475" s="245"/>
      <c r="J475" s="246"/>
      <c r="K475" s="246"/>
      <c r="L475" s="245"/>
      <c r="M475" s="245"/>
      <c r="N475" s="245"/>
      <c r="O475" s="246"/>
      <c r="P475" s="246"/>
      <c r="Q475" s="245"/>
      <c r="R475" s="246"/>
      <c r="S475" s="246"/>
      <c r="T475" s="246"/>
      <c r="U475" s="246"/>
      <c r="V475" s="247"/>
    </row>
    <row r="476" spans="1:22">
      <c r="A476" s="242"/>
      <c r="B476" s="248"/>
      <c r="C476" s="249"/>
      <c r="D476" s="250"/>
      <c r="E476" s="250"/>
      <c r="F476" s="252"/>
      <c r="G476" s="250"/>
      <c r="H476" s="250"/>
      <c r="I476" s="250"/>
      <c r="J476" s="253"/>
      <c r="K476" s="253"/>
      <c r="L476" s="250"/>
      <c r="M476" s="250"/>
      <c r="N476" s="250"/>
      <c r="O476" s="253"/>
      <c r="P476" s="253"/>
      <c r="Q476" s="250"/>
      <c r="R476" s="253"/>
      <c r="S476" s="253"/>
      <c r="T476" s="253"/>
      <c r="U476" s="253"/>
      <c r="V476" s="247"/>
    </row>
    <row r="477" spans="1:22">
      <c r="A477" s="242"/>
      <c r="B477" s="219"/>
      <c r="C477" s="239"/>
      <c r="D477" s="240"/>
      <c r="E477" s="240"/>
      <c r="F477" s="240"/>
      <c r="G477" s="240"/>
      <c r="H477" s="240"/>
      <c r="I477" s="240"/>
      <c r="J477" s="241"/>
      <c r="K477" s="241"/>
      <c r="L477" s="240"/>
      <c r="M477" s="240"/>
      <c r="N477" s="240"/>
      <c r="O477" s="241"/>
      <c r="P477" s="241"/>
      <c r="Q477" s="240"/>
      <c r="R477" s="241"/>
      <c r="S477" s="241"/>
      <c r="T477" s="241"/>
      <c r="U477" s="241"/>
      <c r="V477" s="247"/>
    </row>
    <row r="478" spans="1:22">
      <c r="A478" s="242"/>
      <c r="B478" s="243"/>
      <c r="C478" s="244"/>
      <c r="D478" s="245"/>
      <c r="E478" s="245"/>
      <c r="F478" s="245"/>
      <c r="G478" s="245"/>
      <c r="H478" s="245"/>
      <c r="I478" s="245"/>
      <c r="J478" s="246"/>
      <c r="K478" s="246"/>
      <c r="L478" s="245"/>
      <c r="M478" s="245"/>
      <c r="N478" s="245"/>
      <c r="O478" s="246"/>
      <c r="P478" s="246"/>
      <c r="Q478" s="245"/>
      <c r="R478" s="246"/>
      <c r="S478" s="246"/>
      <c r="T478" s="246"/>
      <c r="U478" s="246"/>
      <c r="V478" s="247"/>
    </row>
    <row r="479" spans="1:22">
      <c r="A479" s="242"/>
      <c r="B479" s="248"/>
      <c r="C479" s="249"/>
      <c r="D479" s="250"/>
      <c r="E479" s="250"/>
      <c r="F479" s="250"/>
      <c r="G479" s="250"/>
      <c r="H479" s="250"/>
      <c r="I479" s="250"/>
      <c r="J479" s="253"/>
      <c r="K479" s="253"/>
      <c r="L479" s="250"/>
      <c r="M479" s="250"/>
      <c r="N479" s="250"/>
      <c r="O479" s="253"/>
      <c r="P479" s="253"/>
      <c r="Q479" s="250"/>
      <c r="R479" s="253"/>
      <c r="S479" s="253"/>
      <c r="T479" s="253"/>
      <c r="U479" s="253"/>
      <c r="V479" s="247"/>
    </row>
    <row r="480" spans="1:22">
      <c r="A480" s="242"/>
      <c r="B480" s="219"/>
      <c r="C480" s="239"/>
      <c r="D480" s="240"/>
      <c r="E480" s="240"/>
      <c r="F480" s="240"/>
      <c r="G480" s="240"/>
      <c r="H480" s="240"/>
      <c r="I480" s="240"/>
      <c r="J480" s="241"/>
      <c r="K480" s="241"/>
      <c r="L480" s="240"/>
      <c r="M480" s="240"/>
      <c r="N480" s="240"/>
      <c r="O480" s="241"/>
      <c r="P480" s="241"/>
      <c r="Q480" s="240"/>
      <c r="R480" s="241"/>
      <c r="S480" s="241"/>
      <c r="T480" s="241"/>
      <c r="U480" s="241"/>
      <c r="V480" s="247"/>
    </row>
    <row r="481" spans="1:22">
      <c r="A481" s="242"/>
      <c r="B481" s="243"/>
      <c r="C481" s="244"/>
      <c r="D481" s="245"/>
      <c r="E481" s="245"/>
      <c r="F481" s="245"/>
      <c r="G481" s="245"/>
      <c r="H481" s="245"/>
      <c r="I481" s="245"/>
      <c r="J481" s="246"/>
      <c r="K481" s="246"/>
      <c r="L481" s="245"/>
      <c r="M481" s="245"/>
      <c r="N481" s="245"/>
      <c r="O481" s="246"/>
      <c r="P481" s="246"/>
      <c r="Q481" s="245"/>
      <c r="R481" s="246"/>
      <c r="S481" s="246"/>
      <c r="T481" s="246"/>
      <c r="U481" s="246"/>
      <c r="V481" s="247"/>
    </row>
    <row r="482" spans="1:22">
      <c r="A482" s="242"/>
      <c r="B482" s="248"/>
      <c r="C482" s="249"/>
      <c r="D482" s="250"/>
      <c r="E482" s="250"/>
      <c r="F482" s="250"/>
      <c r="G482" s="250"/>
      <c r="H482" s="250"/>
      <c r="I482" s="250"/>
      <c r="J482" s="253"/>
      <c r="K482" s="253"/>
      <c r="L482" s="250"/>
      <c r="M482" s="250"/>
      <c r="N482" s="250"/>
      <c r="O482" s="253"/>
      <c r="P482" s="253"/>
      <c r="Q482" s="250"/>
      <c r="R482" s="253"/>
      <c r="S482" s="253"/>
      <c r="T482" s="253"/>
      <c r="U482" s="253"/>
      <c r="V482" s="247"/>
    </row>
    <row r="483" spans="1:22">
      <c r="A483" s="242"/>
      <c r="B483" s="219"/>
      <c r="C483" s="239"/>
      <c r="D483" s="240"/>
      <c r="E483" s="240"/>
      <c r="F483" s="240"/>
      <c r="G483" s="240"/>
      <c r="H483" s="240"/>
      <c r="I483" s="240"/>
      <c r="J483" s="241"/>
      <c r="K483" s="241"/>
      <c r="L483" s="240"/>
      <c r="M483" s="240"/>
      <c r="N483" s="240"/>
      <c r="O483" s="241"/>
      <c r="P483" s="241"/>
      <c r="Q483" s="240"/>
      <c r="R483" s="241"/>
      <c r="S483" s="241"/>
      <c r="T483" s="241"/>
      <c r="U483" s="241"/>
      <c r="V483" s="247"/>
    </row>
    <row r="484" spans="1:22">
      <c r="A484" s="242"/>
      <c r="B484" s="243"/>
      <c r="C484" s="244"/>
      <c r="D484" s="245"/>
      <c r="E484" s="245"/>
      <c r="F484" s="245"/>
      <c r="G484" s="245"/>
      <c r="H484" s="245"/>
      <c r="I484" s="245"/>
      <c r="J484" s="246"/>
      <c r="K484" s="246"/>
      <c r="L484" s="245"/>
      <c r="M484" s="245"/>
      <c r="N484" s="245"/>
      <c r="O484" s="246"/>
      <c r="P484" s="246"/>
      <c r="Q484" s="245"/>
      <c r="R484" s="246"/>
      <c r="S484" s="246"/>
      <c r="T484" s="246"/>
      <c r="U484" s="246"/>
      <c r="V484" s="247"/>
    </row>
    <row r="485" spans="1:22">
      <c r="A485" s="242"/>
      <c r="B485" s="248"/>
      <c r="C485" s="249"/>
      <c r="D485" s="250"/>
      <c r="E485" s="250"/>
      <c r="F485" s="250"/>
      <c r="G485" s="250"/>
      <c r="H485" s="250"/>
      <c r="I485" s="250"/>
      <c r="J485" s="253"/>
      <c r="K485" s="253"/>
      <c r="L485" s="250"/>
      <c r="M485" s="250"/>
      <c r="N485" s="250"/>
      <c r="O485" s="253"/>
      <c r="P485" s="253"/>
      <c r="Q485" s="250"/>
      <c r="R485" s="253"/>
      <c r="S485" s="253"/>
      <c r="T485" s="253"/>
      <c r="U485" s="253"/>
      <c r="V485" s="247"/>
    </row>
    <row r="486" spans="1:22">
      <c r="A486" s="242"/>
      <c r="B486" s="219"/>
      <c r="C486" s="239"/>
      <c r="D486" s="240"/>
      <c r="E486" s="240"/>
      <c r="F486" s="240"/>
      <c r="G486" s="240"/>
      <c r="H486" s="240"/>
      <c r="I486" s="240"/>
      <c r="J486" s="241"/>
      <c r="K486" s="241"/>
      <c r="L486" s="240"/>
      <c r="M486" s="240"/>
      <c r="N486" s="240"/>
      <c r="O486" s="241"/>
      <c r="P486" s="241"/>
      <c r="Q486" s="240"/>
      <c r="R486" s="241"/>
      <c r="S486" s="241"/>
      <c r="T486" s="241"/>
      <c r="U486" s="241"/>
      <c r="V486" s="247"/>
    </row>
    <row r="487" spans="1:22">
      <c r="A487" s="242"/>
      <c r="B487" s="243"/>
      <c r="C487" s="244"/>
      <c r="D487" s="245"/>
      <c r="E487" s="245"/>
      <c r="F487" s="245"/>
      <c r="G487" s="245"/>
      <c r="H487" s="245"/>
      <c r="I487" s="245"/>
      <c r="J487" s="246"/>
      <c r="K487" s="246"/>
      <c r="L487" s="245"/>
      <c r="M487" s="245"/>
      <c r="N487" s="245"/>
      <c r="O487" s="246"/>
      <c r="P487" s="246"/>
      <c r="Q487" s="245"/>
      <c r="R487" s="246"/>
      <c r="S487" s="246"/>
      <c r="T487" s="246"/>
      <c r="U487" s="246"/>
      <c r="V487" s="247"/>
    </row>
    <row r="488" spans="1:22">
      <c r="A488" s="242"/>
      <c r="B488" s="248"/>
      <c r="C488" s="249"/>
      <c r="D488" s="250"/>
      <c r="E488" s="250"/>
      <c r="F488" s="250"/>
      <c r="G488" s="250"/>
      <c r="H488" s="250"/>
      <c r="I488" s="250"/>
      <c r="J488" s="253"/>
      <c r="K488" s="253"/>
      <c r="L488" s="250"/>
      <c r="M488" s="250"/>
      <c r="N488" s="250"/>
      <c r="O488" s="253"/>
      <c r="P488" s="253"/>
      <c r="Q488" s="250"/>
      <c r="R488" s="253"/>
      <c r="S488" s="253"/>
      <c r="T488" s="253"/>
      <c r="U488" s="253"/>
      <c r="V488" s="247"/>
    </row>
    <row r="489" spans="1:22">
      <c r="A489" s="242"/>
      <c r="B489" s="219"/>
      <c r="C489" s="239"/>
      <c r="D489" s="240"/>
      <c r="E489" s="240"/>
      <c r="F489" s="240"/>
      <c r="G489" s="240"/>
      <c r="H489" s="240"/>
      <c r="I489" s="240"/>
      <c r="J489" s="241"/>
      <c r="K489" s="241"/>
      <c r="L489" s="240"/>
      <c r="M489" s="240"/>
      <c r="N489" s="240"/>
      <c r="O489" s="241"/>
      <c r="P489" s="241"/>
      <c r="Q489" s="240"/>
      <c r="R489" s="241"/>
      <c r="S489" s="241"/>
      <c r="T489" s="241"/>
      <c r="U489" s="241"/>
      <c r="V489" s="247"/>
    </row>
    <row r="490" spans="1:22">
      <c r="A490" s="242"/>
      <c r="B490" s="243"/>
      <c r="C490" s="244"/>
      <c r="D490" s="245"/>
      <c r="E490" s="245"/>
      <c r="F490" s="245"/>
      <c r="G490" s="245"/>
      <c r="H490" s="245"/>
      <c r="I490" s="245"/>
      <c r="J490" s="246"/>
      <c r="K490" s="246"/>
      <c r="L490" s="245"/>
      <c r="M490" s="245"/>
      <c r="N490" s="245"/>
      <c r="O490" s="246"/>
      <c r="P490" s="246"/>
      <c r="Q490" s="245"/>
      <c r="R490" s="246"/>
      <c r="S490" s="246"/>
      <c r="T490" s="246"/>
      <c r="U490" s="246"/>
      <c r="V490" s="247"/>
    </row>
    <row r="491" spans="1:22" ht="15.75" thickBot="1">
      <c r="A491" s="242"/>
      <c r="B491" s="257"/>
      <c r="C491" s="258"/>
      <c r="D491" s="259"/>
      <c r="E491" s="259"/>
      <c r="F491" s="259"/>
      <c r="G491" s="259"/>
      <c r="H491" s="259"/>
      <c r="I491" s="259"/>
      <c r="J491" s="260"/>
      <c r="K491" s="260"/>
      <c r="L491" s="259"/>
      <c r="M491" s="259"/>
      <c r="N491" s="259"/>
      <c r="O491" s="260"/>
      <c r="P491" s="260"/>
      <c r="Q491" s="259"/>
      <c r="R491" s="260"/>
      <c r="S491" s="260"/>
      <c r="T491" s="260"/>
      <c r="U491" s="260"/>
      <c r="V491" s="247"/>
    </row>
    <row r="492" spans="1:22" ht="15.75" thickTop="1">
      <c r="A492" s="242"/>
      <c r="B492" s="243"/>
      <c r="C492" s="244"/>
      <c r="D492" s="245"/>
      <c r="E492" s="245"/>
      <c r="F492" s="245"/>
      <c r="G492" s="245"/>
      <c r="H492" s="245"/>
      <c r="I492" s="245"/>
      <c r="J492" s="246"/>
      <c r="K492" s="246"/>
      <c r="L492" s="245"/>
      <c r="M492" s="245"/>
      <c r="N492" s="245"/>
      <c r="O492" s="246"/>
      <c r="P492" s="246"/>
      <c r="Q492" s="245"/>
      <c r="R492" s="246"/>
      <c r="S492" s="246"/>
      <c r="T492" s="246"/>
      <c r="U492" s="246"/>
      <c r="V492" s="247"/>
    </row>
    <row r="493" spans="1:22">
      <c r="A493" s="242"/>
      <c r="B493" s="243"/>
      <c r="C493" s="244"/>
      <c r="D493" s="245"/>
      <c r="E493" s="245"/>
      <c r="F493" s="245"/>
      <c r="G493" s="245"/>
      <c r="H493" s="245"/>
      <c r="I493" s="245"/>
      <c r="J493" s="246"/>
      <c r="K493" s="246"/>
      <c r="L493" s="245"/>
      <c r="M493" s="245"/>
      <c r="N493" s="245"/>
      <c r="O493" s="246"/>
      <c r="P493" s="246"/>
      <c r="Q493" s="245"/>
      <c r="R493" s="246"/>
      <c r="S493" s="246"/>
      <c r="T493" s="246"/>
      <c r="U493" s="246"/>
      <c r="V493" s="247"/>
    </row>
    <row r="494" spans="1:22">
      <c r="A494" s="242"/>
      <c r="B494" s="248"/>
      <c r="C494" s="249"/>
      <c r="D494" s="250"/>
      <c r="E494" s="250"/>
      <c r="F494" s="252"/>
      <c r="G494" s="252"/>
      <c r="H494" s="252"/>
      <c r="I494" s="250"/>
      <c r="J494" s="253"/>
      <c r="K494" s="253"/>
      <c r="L494" s="250"/>
      <c r="M494" s="250"/>
      <c r="N494" s="250"/>
      <c r="O494" s="253"/>
      <c r="P494" s="253"/>
      <c r="Q494" s="250"/>
      <c r="R494" s="253"/>
      <c r="S494" s="253"/>
      <c r="T494" s="253"/>
      <c r="U494" s="253"/>
      <c r="V494" s="247"/>
    </row>
    <row r="495" spans="1:22">
      <c r="A495" s="242"/>
      <c r="B495" s="219"/>
      <c r="C495" s="239"/>
      <c r="D495" s="240"/>
      <c r="E495" s="240"/>
      <c r="F495" s="240"/>
      <c r="G495" s="240"/>
      <c r="H495" s="240"/>
      <c r="I495" s="240"/>
      <c r="J495" s="241"/>
      <c r="K495" s="241"/>
      <c r="L495" s="240"/>
      <c r="M495" s="240"/>
      <c r="N495" s="240"/>
      <c r="O495" s="241"/>
      <c r="P495" s="241"/>
      <c r="Q495" s="240"/>
      <c r="R495" s="241"/>
      <c r="S495" s="241"/>
      <c r="T495" s="241"/>
      <c r="U495" s="241"/>
      <c r="V495" s="247"/>
    </row>
    <row r="496" spans="1:22">
      <c r="A496" s="242"/>
      <c r="B496" s="243"/>
      <c r="C496" s="244"/>
      <c r="D496" s="245"/>
      <c r="E496" s="245"/>
      <c r="F496" s="245"/>
      <c r="G496" s="245"/>
      <c r="H496" s="245"/>
      <c r="I496" s="245"/>
      <c r="J496" s="246"/>
      <c r="K496" s="246"/>
      <c r="L496" s="245"/>
      <c r="M496" s="245"/>
      <c r="N496" s="245"/>
      <c r="O496" s="246"/>
      <c r="P496" s="246"/>
      <c r="Q496" s="245"/>
      <c r="R496" s="246"/>
      <c r="S496" s="246"/>
      <c r="T496" s="246"/>
      <c r="U496" s="246"/>
      <c r="V496" s="247"/>
    </row>
    <row r="497" spans="1:22">
      <c r="A497" s="242"/>
      <c r="B497" s="248"/>
      <c r="C497" s="249"/>
      <c r="D497" s="250"/>
      <c r="E497" s="252"/>
      <c r="F497" s="252"/>
      <c r="G497" s="250"/>
      <c r="H497" s="250"/>
      <c r="I497" s="250"/>
      <c r="J497" s="253"/>
      <c r="K497" s="253"/>
      <c r="L497" s="250"/>
      <c r="M497" s="250"/>
      <c r="N497" s="250"/>
      <c r="O497" s="253"/>
      <c r="P497" s="253"/>
      <c r="Q497" s="250"/>
      <c r="R497" s="253"/>
      <c r="S497" s="253"/>
      <c r="T497" s="253"/>
      <c r="U497" s="253"/>
      <c r="V497" s="247"/>
    </row>
    <row r="498" spans="1:22">
      <c r="A498" s="242"/>
      <c r="B498" s="219"/>
      <c r="C498" s="239"/>
      <c r="D498" s="240"/>
      <c r="E498" s="240"/>
      <c r="F498" s="240"/>
      <c r="G498" s="240"/>
      <c r="H498" s="240"/>
      <c r="I498" s="240"/>
      <c r="J498" s="241"/>
      <c r="K498" s="241"/>
      <c r="L498" s="240"/>
      <c r="M498" s="240"/>
      <c r="N498" s="240"/>
      <c r="O498" s="241"/>
      <c r="P498" s="241"/>
      <c r="Q498" s="240"/>
      <c r="R498" s="241"/>
      <c r="S498" s="241"/>
      <c r="T498" s="241"/>
      <c r="U498" s="241"/>
      <c r="V498" s="247"/>
    </row>
    <row r="499" spans="1:22">
      <c r="A499" s="242"/>
      <c r="B499" s="243"/>
      <c r="C499" s="244"/>
      <c r="D499" s="245"/>
      <c r="E499" s="245"/>
      <c r="F499" s="245"/>
      <c r="G499" s="245"/>
      <c r="H499" s="245"/>
      <c r="I499" s="245"/>
      <c r="J499" s="246"/>
      <c r="K499" s="246"/>
      <c r="L499" s="245"/>
      <c r="M499" s="245"/>
      <c r="N499" s="245"/>
      <c r="O499" s="246"/>
      <c r="P499" s="246"/>
      <c r="Q499" s="245"/>
      <c r="R499" s="246"/>
      <c r="S499" s="246"/>
      <c r="T499" s="246"/>
      <c r="U499" s="246"/>
      <c r="V499" s="247"/>
    </row>
    <row r="500" spans="1:22">
      <c r="A500" s="242"/>
      <c r="B500" s="248"/>
      <c r="C500" s="249"/>
      <c r="D500" s="250"/>
      <c r="E500" s="252"/>
      <c r="F500" s="250"/>
      <c r="G500" s="252"/>
      <c r="H500" s="252"/>
      <c r="I500" s="250"/>
      <c r="J500" s="253"/>
      <c r="K500" s="253"/>
      <c r="L500" s="250"/>
      <c r="M500" s="250"/>
      <c r="N500" s="250"/>
      <c r="O500" s="253"/>
      <c r="P500" s="253"/>
      <c r="Q500" s="250"/>
      <c r="R500" s="253"/>
      <c r="S500" s="253"/>
      <c r="T500" s="253"/>
      <c r="U500" s="253"/>
      <c r="V500" s="247"/>
    </row>
    <row r="501" spans="1:22">
      <c r="A501" s="242"/>
      <c r="B501" s="219"/>
      <c r="C501" s="239"/>
      <c r="D501" s="240"/>
      <c r="E501" s="240"/>
      <c r="F501" s="240"/>
      <c r="G501" s="240"/>
      <c r="H501" s="240"/>
      <c r="I501" s="240"/>
      <c r="J501" s="241"/>
      <c r="K501" s="241"/>
      <c r="L501" s="240"/>
      <c r="M501" s="240"/>
      <c r="N501" s="240"/>
      <c r="O501" s="241"/>
      <c r="P501" s="241"/>
      <c r="Q501" s="240"/>
      <c r="R501" s="241"/>
      <c r="S501" s="241"/>
      <c r="T501" s="241"/>
      <c r="U501" s="241"/>
      <c r="V501" s="247"/>
    </row>
    <row r="502" spans="1:22">
      <c r="A502" s="242"/>
      <c r="B502" s="243"/>
      <c r="C502" s="244"/>
      <c r="D502" s="245"/>
      <c r="E502" s="245"/>
      <c r="F502" s="245"/>
      <c r="G502" s="245"/>
      <c r="H502" s="254"/>
      <c r="I502" s="245"/>
      <c r="J502" s="246"/>
      <c r="K502" s="246"/>
      <c r="L502" s="245"/>
      <c r="M502" s="245"/>
      <c r="N502" s="245"/>
      <c r="O502" s="246"/>
      <c r="P502" s="246"/>
      <c r="Q502" s="245"/>
      <c r="R502" s="246"/>
      <c r="S502" s="246"/>
      <c r="T502" s="246"/>
      <c r="U502" s="246"/>
      <c r="V502" s="247"/>
    </row>
    <row r="503" spans="1:22">
      <c r="A503" s="242"/>
      <c r="B503" s="248"/>
      <c r="C503" s="249"/>
      <c r="D503" s="250"/>
      <c r="E503" s="250"/>
      <c r="F503" s="250"/>
      <c r="G503" s="250"/>
      <c r="H503" s="252"/>
      <c r="I503" s="250"/>
      <c r="J503" s="253"/>
      <c r="K503" s="253"/>
      <c r="L503" s="250"/>
      <c r="M503" s="250"/>
      <c r="N503" s="250"/>
      <c r="O503" s="253"/>
      <c r="P503" s="253"/>
      <c r="Q503" s="250"/>
      <c r="R503" s="253"/>
      <c r="S503" s="253"/>
      <c r="T503" s="253"/>
      <c r="U503" s="253"/>
      <c r="V503" s="247"/>
    </row>
    <row r="504" spans="1:22">
      <c r="A504" s="242"/>
      <c r="B504" s="219"/>
      <c r="C504" s="239"/>
      <c r="D504" s="240"/>
      <c r="E504" s="240"/>
      <c r="F504" s="240"/>
      <c r="G504" s="240"/>
      <c r="H504" s="240"/>
      <c r="I504" s="240"/>
      <c r="J504" s="241"/>
      <c r="K504" s="241"/>
      <c r="L504" s="240"/>
      <c r="M504" s="240"/>
      <c r="N504" s="240"/>
      <c r="O504" s="241"/>
      <c r="P504" s="241"/>
      <c r="Q504" s="240"/>
      <c r="R504" s="241"/>
      <c r="S504" s="241"/>
      <c r="T504" s="241"/>
      <c r="U504" s="241"/>
      <c r="V504" s="247"/>
    </row>
    <row r="505" spans="1:22">
      <c r="A505" s="242"/>
      <c r="B505" s="243"/>
      <c r="C505" s="244"/>
      <c r="D505" s="245"/>
      <c r="E505" s="245"/>
      <c r="F505" s="245"/>
      <c r="G505" s="245"/>
      <c r="H505" s="245"/>
      <c r="I505" s="245"/>
      <c r="J505" s="246"/>
      <c r="K505" s="246"/>
      <c r="L505" s="245"/>
      <c r="M505" s="245"/>
      <c r="N505" s="245"/>
      <c r="O505" s="246"/>
      <c r="P505" s="246"/>
      <c r="Q505" s="245"/>
      <c r="R505" s="246"/>
      <c r="S505" s="246"/>
      <c r="T505" s="246"/>
      <c r="U505" s="246"/>
      <c r="V505" s="247"/>
    </row>
    <row r="506" spans="1:22">
      <c r="A506" s="242"/>
      <c r="B506" s="248"/>
      <c r="C506" s="249"/>
      <c r="D506" s="250"/>
      <c r="E506" s="250"/>
      <c r="F506" s="250"/>
      <c r="G506" s="250"/>
      <c r="H506" s="250"/>
      <c r="I506" s="250"/>
      <c r="J506" s="253"/>
      <c r="K506" s="253"/>
      <c r="L506" s="250"/>
      <c r="M506" s="250"/>
      <c r="N506" s="250"/>
      <c r="O506" s="253"/>
      <c r="P506" s="253"/>
      <c r="Q506" s="250"/>
      <c r="R506" s="253"/>
      <c r="S506" s="253"/>
      <c r="T506" s="253"/>
      <c r="U506" s="253"/>
      <c r="V506" s="247"/>
    </row>
    <row r="507" spans="1:22">
      <c r="A507" s="242"/>
      <c r="B507" s="219"/>
      <c r="C507" s="239"/>
      <c r="D507" s="240"/>
      <c r="E507" s="240"/>
      <c r="F507" s="240"/>
      <c r="G507" s="240"/>
      <c r="H507" s="240"/>
      <c r="I507" s="240"/>
      <c r="J507" s="241"/>
      <c r="K507" s="241"/>
      <c r="L507" s="240"/>
      <c r="M507" s="240"/>
      <c r="N507" s="240"/>
      <c r="O507" s="241"/>
      <c r="P507" s="241"/>
      <c r="Q507" s="240"/>
      <c r="R507" s="241"/>
      <c r="S507" s="241"/>
      <c r="T507" s="241"/>
      <c r="U507" s="241"/>
      <c r="V507" s="247"/>
    </row>
    <row r="508" spans="1:22">
      <c r="A508" s="242"/>
      <c r="B508" s="243"/>
      <c r="C508" s="244"/>
      <c r="D508" s="245"/>
      <c r="E508" s="245"/>
      <c r="F508" s="245"/>
      <c r="G508" s="245"/>
      <c r="H508" s="245"/>
      <c r="I508" s="245"/>
      <c r="J508" s="246"/>
      <c r="K508" s="246"/>
      <c r="L508" s="245"/>
      <c r="M508" s="245"/>
      <c r="N508" s="245"/>
      <c r="O508" s="246"/>
      <c r="P508" s="246"/>
      <c r="Q508" s="245"/>
      <c r="R508" s="246"/>
      <c r="S508" s="246"/>
      <c r="T508" s="246"/>
      <c r="U508" s="246"/>
      <c r="V508" s="247"/>
    </row>
    <row r="509" spans="1:22" ht="15.75" thickBot="1">
      <c r="A509" s="261"/>
      <c r="B509" s="262"/>
      <c r="C509" s="263"/>
      <c r="D509" s="264"/>
      <c r="E509" s="264"/>
      <c r="F509" s="264"/>
      <c r="G509" s="264"/>
      <c r="H509" s="264"/>
      <c r="I509" s="264"/>
      <c r="J509" s="265"/>
      <c r="K509" s="265"/>
      <c r="L509" s="264"/>
      <c r="M509" s="264"/>
      <c r="N509" s="264"/>
      <c r="O509" s="265"/>
      <c r="P509" s="265"/>
      <c r="Q509" s="264"/>
      <c r="R509" s="265"/>
      <c r="S509" s="265"/>
      <c r="T509" s="265"/>
      <c r="U509" s="265"/>
      <c r="V509" s="247"/>
    </row>
    <row r="510" spans="1:22">
      <c r="A510" s="238"/>
      <c r="B510" s="219"/>
      <c r="C510" s="239"/>
      <c r="D510" s="240"/>
      <c r="E510" s="240"/>
      <c r="F510" s="240"/>
      <c r="G510" s="240"/>
      <c r="H510" s="240"/>
      <c r="I510" s="240"/>
      <c r="J510" s="241"/>
      <c r="K510" s="241"/>
      <c r="L510" s="240"/>
      <c r="M510" s="240"/>
      <c r="N510" s="240"/>
      <c r="O510" s="241"/>
      <c r="P510" s="241"/>
      <c r="Q510" s="240"/>
      <c r="R510" s="241"/>
      <c r="S510" s="241"/>
      <c r="T510" s="241"/>
      <c r="U510" s="241"/>
      <c r="V510" s="247"/>
    </row>
    <row r="511" spans="1:22">
      <c r="A511" s="242"/>
      <c r="B511" s="243"/>
      <c r="C511" s="244"/>
      <c r="D511" s="245"/>
      <c r="E511" s="245"/>
      <c r="F511" s="245"/>
      <c r="G511" s="245"/>
      <c r="H511" s="245"/>
      <c r="I511" s="245"/>
      <c r="J511" s="246"/>
      <c r="K511" s="246"/>
      <c r="L511" s="245"/>
      <c r="M511" s="245"/>
      <c r="N511" s="245"/>
      <c r="O511" s="246"/>
      <c r="P511" s="246"/>
      <c r="Q511" s="245"/>
      <c r="R511" s="246"/>
      <c r="S511" s="246"/>
      <c r="T511" s="246"/>
      <c r="U511" s="246"/>
      <c r="V511" s="247"/>
    </row>
    <row r="512" spans="1:22">
      <c r="A512" s="242"/>
      <c r="B512" s="248"/>
      <c r="C512" s="249"/>
      <c r="D512" s="250"/>
      <c r="E512" s="250"/>
      <c r="F512" s="250"/>
      <c r="G512" s="250"/>
      <c r="H512" s="250"/>
      <c r="I512" s="250"/>
      <c r="J512" s="253"/>
      <c r="K512" s="253"/>
      <c r="L512" s="250"/>
      <c r="M512" s="250"/>
      <c r="N512" s="250"/>
      <c r="O512" s="253"/>
      <c r="P512" s="253"/>
      <c r="Q512" s="250"/>
      <c r="R512" s="253"/>
      <c r="S512" s="253"/>
      <c r="T512" s="253"/>
      <c r="U512" s="253"/>
      <c r="V512" s="247"/>
    </row>
    <row r="513" spans="1:22">
      <c r="A513" s="242"/>
      <c r="B513" s="219"/>
      <c r="C513" s="239"/>
      <c r="D513" s="240"/>
      <c r="E513" s="240"/>
      <c r="F513" s="240"/>
      <c r="G513" s="240"/>
      <c r="H513" s="240"/>
      <c r="I513" s="240"/>
      <c r="J513" s="241"/>
      <c r="K513" s="241"/>
      <c r="L513" s="240"/>
      <c r="M513" s="240"/>
      <c r="N513" s="240"/>
      <c r="O513" s="241"/>
      <c r="P513" s="241"/>
      <c r="Q513" s="240"/>
      <c r="R513" s="241"/>
      <c r="S513" s="241"/>
      <c r="T513" s="241"/>
      <c r="U513" s="241"/>
      <c r="V513" s="247"/>
    </row>
    <row r="514" spans="1:22">
      <c r="A514" s="242"/>
      <c r="B514" s="243"/>
      <c r="C514" s="244"/>
      <c r="D514" s="245"/>
      <c r="E514" s="245"/>
      <c r="F514" s="245"/>
      <c r="G514" s="245"/>
      <c r="H514" s="245"/>
      <c r="I514" s="245"/>
      <c r="J514" s="246"/>
      <c r="K514" s="246"/>
      <c r="L514" s="245"/>
      <c r="M514" s="245"/>
      <c r="N514" s="245"/>
      <c r="O514" s="246"/>
      <c r="P514" s="246"/>
      <c r="Q514" s="245"/>
      <c r="R514" s="246"/>
      <c r="S514" s="246"/>
      <c r="T514" s="246"/>
      <c r="U514" s="246"/>
      <c r="V514" s="247"/>
    </row>
    <row r="515" spans="1:22">
      <c r="A515" s="242"/>
      <c r="B515" s="248"/>
      <c r="C515" s="249"/>
      <c r="D515" s="250"/>
      <c r="E515" s="250"/>
      <c r="F515" s="250"/>
      <c r="G515" s="250"/>
      <c r="H515" s="250"/>
      <c r="I515" s="250"/>
      <c r="J515" s="253"/>
      <c r="K515" s="253"/>
      <c r="L515" s="250"/>
      <c r="M515" s="250"/>
      <c r="N515" s="250"/>
      <c r="O515" s="253"/>
      <c r="P515" s="253"/>
      <c r="Q515" s="250"/>
      <c r="R515" s="253"/>
      <c r="S515" s="253"/>
      <c r="T515" s="253"/>
      <c r="U515" s="253"/>
      <c r="V515" s="247"/>
    </row>
    <row r="516" spans="1:22">
      <c r="A516" s="242"/>
      <c r="B516" s="219"/>
      <c r="C516" s="239"/>
      <c r="D516" s="240"/>
      <c r="E516" s="240"/>
      <c r="F516" s="240"/>
      <c r="G516" s="240"/>
      <c r="H516" s="240"/>
      <c r="I516" s="240"/>
      <c r="J516" s="241"/>
      <c r="K516" s="241"/>
      <c r="L516" s="240"/>
      <c r="M516" s="240"/>
      <c r="N516" s="240"/>
      <c r="O516" s="241"/>
      <c r="P516" s="241"/>
      <c r="Q516" s="240"/>
      <c r="R516" s="241"/>
      <c r="S516" s="241"/>
      <c r="T516" s="241"/>
      <c r="U516" s="241"/>
      <c r="V516" s="247"/>
    </row>
    <row r="517" spans="1:22">
      <c r="A517" s="242"/>
      <c r="B517" s="243"/>
      <c r="C517" s="244"/>
      <c r="D517" s="245"/>
      <c r="E517" s="245"/>
      <c r="F517" s="245"/>
      <c r="G517" s="245"/>
      <c r="H517" s="245"/>
      <c r="I517" s="245"/>
      <c r="J517" s="246"/>
      <c r="K517" s="246"/>
      <c r="L517" s="245"/>
      <c r="M517" s="245"/>
      <c r="N517" s="245"/>
      <c r="O517" s="246"/>
      <c r="P517" s="246"/>
      <c r="Q517" s="245"/>
      <c r="R517" s="246"/>
      <c r="S517" s="246"/>
      <c r="T517" s="246"/>
      <c r="U517" s="246"/>
      <c r="V517" s="247"/>
    </row>
    <row r="518" spans="1:22">
      <c r="A518" s="242"/>
      <c r="B518" s="248"/>
      <c r="C518" s="249"/>
      <c r="D518" s="250"/>
      <c r="E518" s="250"/>
      <c r="F518" s="250"/>
      <c r="G518" s="250"/>
      <c r="H518" s="250"/>
      <c r="I518" s="250"/>
      <c r="J518" s="253"/>
      <c r="K518" s="253"/>
      <c r="L518" s="250"/>
      <c r="M518" s="250"/>
      <c r="N518" s="250"/>
      <c r="O518" s="253"/>
      <c r="P518" s="253"/>
      <c r="Q518" s="250"/>
      <c r="R518" s="253"/>
      <c r="S518" s="253"/>
      <c r="T518" s="253"/>
      <c r="U518" s="253"/>
      <c r="V518" s="247"/>
    </row>
    <row r="519" spans="1:22">
      <c r="A519" s="242"/>
      <c r="B519" s="219"/>
      <c r="C519" s="239"/>
      <c r="D519" s="240"/>
      <c r="E519" s="240"/>
      <c r="F519" s="240"/>
      <c r="G519" s="240"/>
      <c r="H519" s="240"/>
      <c r="I519" s="240"/>
      <c r="J519" s="241"/>
      <c r="K519" s="241"/>
      <c r="L519" s="240"/>
      <c r="M519" s="240"/>
      <c r="N519" s="240"/>
      <c r="O519" s="241"/>
      <c r="P519" s="241"/>
      <c r="Q519" s="240"/>
      <c r="R519" s="241"/>
      <c r="S519" s="241"/>
      <c r="T519" s="241"/>
      <c r="U519" s="241"/>
      <c r="V519" s="247"/>
    </row>
    <row r="520" spans="1:22">
      <c r="A520" s="242"/>
      <c r="B520" s="243"/>
      <c r="C520" s="244"/>
      <c r="D520" s="245"/>
      <c r="E520" s="245"/>
      <c r="F520" s="245"/>
      <c r="G520" s="245"/>
      <c r="H520" s="245"/>
      <c r="I520" s="245"/>
      <c r="J520" s="246"/>
      <c r="K520" s="246"/>
      <c r="L520" s="245"/>
      <c r="M520" s="245"/>
      <c r="N520" s="245"/>
      <c r="O520" s="246"/>
      <c r="P520" s="246"/>
      <c r="Q520" s="245"/>
      <c r="R520" s="246"/>
      <c r="S520" s="246"/>
      <c r="T520" s="246"/>
      <c r="U520" s="246"/>
      <c r="V520" s="247"/>
    </row>
    <row r="521" spans="1:22">
      <c r="A521" s="242"/>
      <c r="B521" s="248"/>
      <c r="C521" s="249"/>
      <c r="D521" s="250"/>
      <c r="E521" s="250"/>
      <c r="F521" s="250"/>
      <c r="G521" s="250"/>
      <c r="H521" s="250"/>
      <c r="I521" s="250"/>
      <c r="J521" s="253"/>
      <c r="K521" s="253"/>
      <c r="L521" s="250"/>
      <c r="M521" s="250"/>
      <c r="N521" s="250"/>
      <c r="O521" s="253"/>
      <c r="P521" s="253"/>
      <c r="Q521" s="250"/>
      <c r="R521" s="253"/>
      <c r="S521" s="253"/>
      <c r="T521" s="253"/>
      <c r="U521" s="253"/>
      <c r="V521" s="247"/>
    </row>
    <row r="522" spans="1:22">
      <c r="A522" s="242"/>
      <c r="B522" s="219"/>
      <c r="C522" s="239"/>
      <c r="D522" s="240"/>
      <c r="E522" s="240"/>
      <c r="F522" s="240"/>
      <c r="G522" s="240"/>
      <c r="H522" s="240"/>
      <c r="I522" s="240"/>
      <c r="J522" s="241"/>
      <c r="K522" s="241"/>
      <c r="L522" s="240"/>
      <c r="M522" s="240"/>
      <c r="N522" s="240"/>
      <c r="O522" s="241"/>
      <c r="P522" s="241"/>
      <c r="Q522" s="240"/>
      <c r="R522" s="241"/>
      <c r="S522" s="241"/>
      <c r="T522" s="241"/>
      <c r="U522" s="241"/>
      <c r="V522" s="247"/>
    </row>
    <row r="523" spans="1:22">
      <c r="A523" s="242"/>
      <c r="B523" s="243"/>
      <c r="C523" s="244"/>
      <c r="D523" s="245"/>
      <c r="E523" s="245"/>
      <c r="F523" s="245"/>
      <c r="G523" s="245"/>
      <c r="H523" s="245"/>
      <c r="I523" s="245"/>
      <c r="J523" s="246"/>
      <c r="K523" s="246"/>
      <c r="L523" s="245"/>
      <c r="M523" s="245"/>
      <c r="N523" s="245"/>
      <c r="O523" s="246"/>
      <c r="P523" s="246"/>
      <c r="Q523" s="245"/>
      <c r="R523" s="246"/>
      <c r="S523" s="246"/>
      <c r="T523" s="246"/>
      <c r="U523" s="246"/>
      <c r="V523" s="247"/>
    </row>
    <row r="524" spans="1:22">
      <c r="A524" s="242"/>
      <c r="B524" s="248"/>
      <c r="C524" s="249"/>
      <c r="D524" s="250"/>
      <c r="E524" s="250"/>
      <c r="F524" s="250"/>
      <c r="G524" s="250"/>
      <c r="H524" s="250"/>
      <c r="I524" s="250"/>
      <c r="J524" s="253"/>
      <c r="K524" s="253"/>
      <c r="L524" s="250"/>
      <c r="M524" s="250"/>
      <c r="N524" s="250"/>
      <c r="O524" s="253"/>
      <c r="P524" s="253"/>
      <c r="Q524" s="250"/>
      <c r="R524" s="253"/>
      <c r="S524" s="253"/>
      <c r="T524" s="253"/>
      <c r="U524" s="253"/>
      <c r="V524" s="247"/>
    </row>
    <row r="525" spans="1:22">
      <c r="A525" s="242"/>
      <c r="B525" s="219"/>
      <c r="C525" s="239"/>
      <c r="D525" s="240"/>
      <c r="E525" s="240"/>
      <c r="F525" s="240"/>
      <c r="G525" s="240"/>
      <c r="H525" s="240"/>
      <c r="I525" s="240"/>
      <c r="J525" s="241"/>
      <c r="K525" s="241"/>
      <c r="L525" s="240"/>
      <c r="M525" s="240"/>
      <c r="N525" s="240"/>
      <c r="O525" s="241"/>
      <c r="P525" s="241"/>
      <c r="Q525" s="240"/>
      <c r="R525" s="241"/>
      <c r="S525" s="241"/>
      <c r="T525" s="241"/>
      <c r="U525" s="241"/>
      <c r="V525" s="247"/>
    </row>
    <row r="526" spans="1:22">
      <c r="A526" s="242"/>
      <c r="B526" s="243"/>
      <c r="C526" s="244"/>
      <c r="D526" s="245"/>
      <c r="E526" s="245"/>
      <c r="F526" s="245"/>
      <c r="G526" s="245"/>
      <c r="H526" s="245"/>
      <c r="I526" s="245"/>
      <c r="J526" s="246"/>
      <c r="K526" s="246"/>
      <c r="L526" s="245"/>
      <c r="M526" s="245"/>
      <c r="N526" s="245"/>
      <c r="O526" s="246"/>
      <c r="P526" s="246"/>
      <c r="Q526" s="245"/>
      <c r="R526" s="246"/>
      <c r="S526" s="246"/>
      <c r="T526" s="246"/>
      <c r="U526" s="246"/>
      <c r="V526" s="247"/>
    </row>
    <row r="527" spans="1:22" ht="15.75" thickBot="1">
      <c r="A527" s="242"/>
      <c r="B527" s="257"/>
      <c r="C527" s="258"/>
      <c r="D527" s="259"/>
      <c r="E527" s="259"/>
      <c r="F527" s="259"/>
      <c r="G527" s="259"/>
      <c r="H527" s="259"/>
      <c r="I527" s="259"/>
      <c r="J527" s="260"/>
      <c r="K527" s="260"/>
      <c r="L527" s="259"/>
      <c r="M527" s="259"/>
      <c r="N527" s="259"/>
      <c r="O527" s="260"/>
      <c r="P527" s="260"/>
      <c r="Q527" s="259"/>
      <c r="R527" s="260"/>
      <c r="S527" s="260"/>
      <c r="T527" s="260"/>
      <c r="U527" s="260"/>
      <c r="V527" s="247"/>
    </row>
    <row r="528" spans="1:22" ht="15.75" thickTop="1">
      <c r="A528" s="242"/>
      <c r="B528" s="243"/>
      <c r="C528" s="244"/>
      <c r="D528" s="245"/>
      <c r="E528" s="245"/>
      <c r="F528" s="245"/>
      <c r="G528" s="245"/>
      <c r="H528" s="245"/>
      <c r="I528" s="245"/>
      <c r="J528" s="246"/>
      <c r="K528" s="246"/>
      <c r="L528" s="245"/>
      <c r="M528" s="245"/>
      <c r="N528" s="245"/>
      <c r="O528" s="246"/>
      <c r="P528" s="246"/>
      <c r="Q528" s="245"/>
      <c r="R528" s="246"/>
      <c r="S528" s="246"/>
      <c r="T528" s="246"/>
      <c r="U528" s="246"/>
      <c r="V528" s="247"/>
    </row>
    <row r="529" spans="1:22">
      <c r="A529" s="242"/>
      <c r="B529" s="243"/>
      <c r="C529" s="244"/>
      <c r="D529" s="245"/>
      <c r="E529" s="245"/>
      <c r="F529" s="245"/>
      <c r="G529" s="245"/>
      <c r="H529" s="245"/>
      <c r="I529" s="245"/>
      <c r="J529" s="246"/>
      <c r="K529" s="246"/>
      <c r="L529" s="245"/>
      <c r="M529" s="245"/>
      <c r="N529" s="245"/>
      <c r="O529" s="246"/>
      <c r="P529" s="246"/>
      <c r="Q529" s="245"/>
      <c r="R529" s="246"/>
      <c r="S529" s="246"/>
      <c r="T529" s="246"/>
      <c r="U529" s="246"/>
      <c r="V529" s="247"/>
    </row>
    <row r="530" spans="1:22">
      <c r="A530" s="242"/>
      <c r="B530" s="248"/>
      <c r="C530" s="249"/>
      <c r="D530" s="250"/>
      <c r="E530" s="250"/>
      <c r="F530" s="250"/>
      <c r="G530" s="250"/>
      <c r="H530" s="250"/>
      <c r="I530" s="250"/>
      <c r="J530" s="253"/>
      <c r="K530" s="253"/>
      <c r="L530" s="250"/>
      <c r="M530" s="250"/>
      <c r="N530" s="250"/>
      <c r="O530" s="253"/>
      <c r="P530" s="253"/>
      <c r="Q530" s="250"/>
      <c r="R530" s="253"/>
      <c r="S530" s="253"/>
      <c r="T530" s="253"/>
      <c r="U530" s="253"/>
      <c r="V530" s="247"/>
    </row>
    <row r="531" spans="1:22">
      <c r="A531" s="242"/>
      <c r="B531" s="219"/>
      <c r="C531" s="239"/>
      <c r="D531" s="240"/>
      <c r="E531" s="240"/>
      <c r="F531" s="240"/>
      <c r="G531" s="240"/>
      <c r="H531" s="240"/>
      <c r="I531" s="240"/>
      <c r="J531" s="241"/>
      <c r="K531" s="241"/>
      <c r="L531" s="240"/>
      <c r="M531" s="240"/>
      <c r="N531" s="240"/>
      <c r="O531" s="241"/>
      <c r="P531" s="241"/>
      <c r="Q531" s="240"/>
      <c r="R531" s="241"/>
      <c r="S531" s="241"/>
      <c r="T531" s="241"/>
      <c r="U531" s="241"/>
      <c r="V531" s="247"/>
    </row>
    <row r="532" spans="1:22">
      <c r="A532" s="242"/>
      <c r="B532" s="243"/>
      <c r="C532" s="244"/>
      <c r="D532" s="245"/>
      <c r="E532" s="245"/>
      <c r="F532" s="245"/>
      <c r="G532" s="245"/>
      <c r="H532" s="245"/>
      <c r="I532" s="245"/>
      <c r="J532" s="246"/>
      <c r="K532" s="246"/>
      <c r="L532" s="245"/>
      <c r="M532" s="245"/>
      <c r="N532" s="245"/>
      <c r="O532" s="246"/>
      <c r="P532" s="246"/>
      <c r="Q532" s="245"/>
      <c r="R532" s="246"/>
      <c r="S532" s="246"/>
      <c r="T532" s="246"/>
      <c r="U532" s="246"/>
      <c r="V532" s="247"/>
    </row>
    <row r="533" spans="1:22">
      <c r="A533" s="242"/>
      <c r="B533" s="248"/>
      <c r="C533" s="249"/>
      <c r="D533" s="250"/>
      <c r="E533" s="250"/>
      <c r="F533" s="250"/>
      <c r="G533" s="250"/>
      <c r="H533" s="250"/>
      <c r="I533" s="250"/>
      <c r="J533" s="253"/>
      <c r="K533" s="253"/>
      <c r="L533" s="250"/>
      <c r="M533" s="250"/>
      <c r="N533" s="250"/>
      <c r="O533" s="253"/>
      <c r="P533" s="253"/>
      <c r="Q533" s="250"/>
      <c r="R533" s="253"/>
      <c r="S533" s="253"/>
      <c r="T533" s="253"/>
      <c r="U533" s="253"/>
      <c r="V533" s="247"/>
    </row>
    <row r="534" spans="1:22">
      <c r="A534" s="242"/>
      <c r="B534" s="219"/>
      <c r="C534" s="239"/>
      <c r="D534" s="240"/>
      <c r="E534" s="240"/>
      <c r="F534" s="240"/>
      <c r="G534" s="240"/>
      <c r="H534" s="240"/>
      <c r="I534" s="240"/>
      <c r="J534" s="241"/>
      <c r="K534" s="241"/>
      <c r="L534" s="240"/>
      <c r="M534" s="240"/>
      <c r="N534" s="240"/>
      <c r="O534" s="241"/>
      <c r="P534" s="241"/>
      <c r="Q534" s="240"/>
      <c r="R534" s="241"/>
      <c r="S534" s="241"/>
      <c r="T534" s="241"/>
      <c r="U534" s="241"/>
      <c r="V534" s="247"/>
    </row>
    <row r="535" spans="1:22">
      <c r="A535" s="242"/>
      <c r="B535" s="243"/>
      <c r="C535" s="244"/>
      <c r="D535" s="254"/>
      <c r="E535" s="245"/>
      <c r="F535" s="245"/>
      <c r="G535" s="245"/>
      <c r="H535" s="245"/>
      <c r="I535" s="245"/>
      <c r="J535" s="246"/>
      <c r="K535" s="246"/>
      <c r="L535" s="245"/>
      <c r="M535" s="245"/>
      <c r="N535" s="245"/>
      <c r="O535" s="246"/>
      <c r="P535" s="246"/>
      <c r="Q535" s="245"/>
      <c r="R535" s="246"/>
      <c r="S535" s="246"/>
      <c r="T535" s="246"/>
      <c r="U535" s="246"/>
      <c r="V535" s="247"/>
    </row>
    <row r="536" spans="1:22">
      <c r="A536" s="242"/>
      <c r="B536" s="248"/>
      <c r="C536" s="249"/>
      <c r="D536" s="250"/>
      <c r="E536" s="250"/>
      <c r="F536" s="250"/>
      <c r="G536" s="250"/>
      <c r="H536" s="250"/>
      <c r="I536" s="250"/>
      <c r="J536" s="253"/>
      <c r="K536" s="253"/>
      <c r="L536" s="250"/>
      <c r="M536" s="250"/>
      <c r="N536" s="250"/>
      <c r="O536" s="253"/>
      <c r="P536" s="253"/>
      <c r="Q536" s="250"/>
      <c r="R536" s="253"/>
      <c r="S536" s="253"/>
      <c r="T536" s="253"/>
      <c r="U536" s="253"/>
      <c r="V536" s="247"/>
    </row>
    <row r="537" spans="1:22">
      <c r="A537" s="242"/>
      <c r="B537" s="219"/>
      <c r="C537" s="239"/>
      <c r="D537" s="240"/>
      <c r="E537" s="240"/>
      <c r="F537" s="240"/>
      <c r="G537" s="240"/>
      <c r="H537" s="240"/>
      <c r="I537" s="240"/>
      <c r="J537" s="241"/>
      <c r="K537" s="241"/>
      <c r="L537" s="240"/>
      <c r="M537" s="240"/>
      <c r="N537" s="240"/>
      <c r="O537" s="241"/>
      <c r="P537" s="241"/>
      <c r="Q537" s="240"/>
      <c r="R537" s="241"/>
      <c r="S537" s="241"/>
      <c r="T537" s="241"/>
      <c r="U537" s="241"/>
      <c r="V537" s="247"/>
    </row>
    <row r="538" spans="1:22">
      <c r="A538" s="242"/>
      <c r="B538" s="243"/>
      <c r="C538" s="244"/>
      <c r="D538" s="245"/>
      <c r="E538" s="245"/>
      <c r="F538" s="245"/>
      <c r="G538" s="245"/>
      <c r="H538" s="245"/>
      <c r="I538" s="245"/>
      <c r="J538" s="246"/>
      <c r="K538" s="246"/>
      <c r="L538" s="245"/>
      <c r="M538" s="245"/>
      <c r="N538" s="245"/>
      <c r="O538" s="246"/>
      <c r="P538" s="246"/>
      <c r="Q538" s="245"/>
      <c r="R538" s="246"/>
      <c r="S538" s="246"/>
      <c r="T538" s="246"/>
      <c r="U538" s="246"/>
      <c r="V538" s="247"/>
    </row>
    <row r="539" spans="1:22">
      <c r="A539" s="242"/>
      <c r="B539" s="248"/>
      <c r="C539" s="249"/>
      <c r="D539" s="250"/>
      <c r="E539" s="250"/>
      <c r="F539" s="250"/>
      <c r="G539" s="250"/>
      <c r="H539" s="250"/>
      <c r="I539" s="250"/>
      <c r="J539" s="253"/>
      <c r="K539" s="253"/>
      <c r="L539" s="250"/>
      <c r="M539" s="250"/>
      <c r="N539" s="250"/>
      <c r="O539" s="253"/>
      <c r="P539" s="253"/>
      <c r="Q539" s="250"/>
      <c r="R539" s="253"/>
      <c r="S539" s="253"/>
      <c r="T539" s="253"/>
      <c r="U539" s="253"/>
      <c r="V539" s="247"/>
    </row>
    <row r="540" spans="1:22">
      <c r="A540" s="242"/>
      <c r="B540" s="219"/>
      <c r="C540" s="239"/>
      <c r="D540" s="240"/>
      <c r="E540" s="240"/>
      <c r="F540" s="240"/>
      <c r="G540" s="240"/>
      <c r="H540" s="240"/>
      <c r="I540" s="240"/>
      <c r="J540" s="241"/>
      <c r="K540" s="241"/>
      <c r="L540" s="240"/>
      <c r="M540" s="240"/>
      <c r="N540" s="240"/>
      <c r="O540" s="241"/>
      <c r="P540" s="241"/>
      <c r="Q540" s="240"/>
      <c r="R540" s="241"/>
      <c r="S540" s="241"/>
      <c r="T540" s="241"/>
      <c r="U540" s="241"/>
      <c r="V540" s="247"/>
    </row>
    <row r="541" spans="1:22">
      <c r="A541" s="242"/>
      <c r="B541" s="243"/>
      <c r="C541" s="256"/>
      <c r="D541" s="245"/>
      <c r="E541" s="245"/>
      <c r="F541" s="245"/>
      <c r="G541" s="245"/>
      <c r="H541" s="245"/>
      <c r="I541" s="245"/>
      <c r="J541" s="246"/>
      <c r="K541" s="246"/>
      <c r="L541" s="245"/>
      <c r="M541" s="245"/>
      <c r="N541" s="245"/>
      <c r="O541" s="246"/>
      <c r="P541" s="246"/>
      <c r="Q541" s="245"/>
      <c r="R541" s="246"/>
      <c r="S541" s="246"/>
      <c r="T541" s="246"/>
      <c r="U541" s="246"/>
      <c r="V541" s="247"/>
    </row>
    <row r="542" spans="1:22">
      <c r="A542" s="242"/>
      <c r="B542" s="248"/>
      <c r="C542" s="249"/>
      <c r="D542" s="250"/>
      <c r="E542" s="250"/>
      <c r="F542" s="250"/>
      <c r="G542" s="250"/>
      <c r="H542" s="250"/>
      <c r="I542" s="250"/>
      <c r="J542" s="253"/>
      <c r="K542" s="253"/>
      <c r="L542" s="250"/>
      <c r="M542" s="250"/>
      <c r="N542" s="250"/>
      <c r="O542" s="253"/>
      <c r="P542" s="253"/>
      <c r="Q542" s="250"/>
      <c r="R542" s="253"/>
      <c r="S542" s="253"/>
      <c r="T542" s="253"/>
      <c r="U542" s="253"/>
      <c r="V542" s="247"/>
    </row>
    <row r="543" spans="1:22">
      <c r="A543" s="242"/>
      <c r="B543" s="219"/>
      <c r="C543" s="239"/>
      <c r="D543" s="240"/>
      <c r="E543" s="240"/>
      <c r="F543" s="240"/>
      <c r="G543" s="240"/>
      <c r="H543" s="240"/>
      <c r="I543" s="240"/>
      <c r="J543" s="241"/>
      <c r="K543" s="241"/>
      <c r="L543" s="240"/>
      <c r="M543" s="240"/>
      <c r="N543" s="240"/>
      <c r="O543" s="241"/>
      <c r="P543" s="241"/>
      <c r="Q543" s="240"/>
      <c r="R543" s="241"/>
      <c r="S543" s="241"/>
      <c r="T543" s="241"/>
      <c r="U543" s="241"/>
      <c r="V543" s="247"/>
    </row>
    <row r="544" spans="1:22">
      <c r="A544" s="242"/>
      <c r="B544" s="243"/>
      <c r="C544" s="244"/>
      <c r="D544" s="245"/>
      <c r="E544" s="245"/>
      <c r="F544" s="245"/>
      <c r="G544" s="245"/>
      <c r="H544" s="245"/>
      <c r="I544" s="245"/>
      <c r="J544" s="246"/>
      <c r="K544" s="246"/>
      <c r="L544" s="245"/>
      <c r="M544" s="245"/>
      <c r="N544" s="245"/>
      <c r="O544" s="246"/>
      <c r="P544" s="246"/>
      <c r="Q544" s="245"/>
      <c r="R544" s="246"/>
      <c r="S544" s="246"/>
      <c r="T544" s="246"/>
      <c r="U544" s="246"/>
      <c r="V544" s="247"/>
    </row>
    <row r="545" spans="1:22" ht="15.75" thickBot="1">
      <c r="A545" s="261"/>
      <c r="B545" s="262"/>
      <c r="C545" s="263"/>
      <c r="D545" s="264"/>
      <c r="E545" s="264"/>
      <c r="F545" s="264"/>
      <c r="G545" s="264"/>
      <c r="H545" s="264"/>
      <c r="I545" s="264"/>
      <c r="J545" s="265"/>
      <c r="K545" s="265"/>
      <c r="L545" s="264"/>
      <c r="M545" s="264"/>
      <c r="N545" s="264"/>
      <c r="O545" s="265"/>
      <c r="P545" s="265"/>
      <c r="Q545" s="264"/>
      <c r="R545" s="265"/>
      <c r="S545" s="265"/>
      <c r="T545" s="265"/>
      <c r="U545" s="265"/>
      <c r="V545" s="247"/>
    </row>
    <row r="546" spans="1:22">
      <c r="A546" s="238"/>
      <c r="B546" s="219"/>
      <c r="C546" s="239"/>
      <c r="D546" s="240"/>
      <c r="E546" s="240"/>
      <c r="F546" s="240"/>
      <c r="G546" s="240"/>
      <c r="H546" s="240"/>
      <c r="I546" s="240"/>
      <c r="J546" s="241"/>
      <c r="K546" s="241"/>
      <c r="L546" s="240"/>
      <c r="M546" s="240"/>
      <c r="N546" s="240"/>
      <c r="O546" s="241"/>
      <c r="P546" s="241"/>
      <c r="Q546" s="240"/>
      <c r="R546" s="241"/>
      <c r="S546" s="241"/>
      <c r="T546" s="241"/>
      <c r="U546" s="241"/>
      <c r="V546" s="247"/>
    </row>
    <row r="547" spans="1:22">
      <c r="A547" s="242"/>
      <c r="B547" s="243"/>
      <c r="C547" s="244"/>
      <c r="D547" s="245"/>
      <c r="E547" s="245"/>
      <c r="F547" s="245"/>
      <c r="G547" s="245"/>
      <c r="H547" s="245"/>
      <c r="I547" s="245"/>
      <c r="J547" s="246"/>
      <c r="K547" s="246"/>
      <c r="L547" s="245"/>
      <c r="M547" s="245"/>
      <c r="N547" s="245"/>
      <c r="O547" s="246"/>
      <c r="P547" s="246"/>
      <c r="Q547" s="245"/>
      <c r="R547" s="246"/>
      <c r="S547" s="246"/>
      <c r="T547" s="246"/>
      <c r="U547" s="246"/>
      <c r="V547" s="247"/>
    </row>
    <row r="548" spans="1:22">
      <c r="A548" s="242"/>
      <c r="B548" s="248"/>
      <c r="C548" s="249"/>
      <c r="D548" s="250"/>
      <c r="E548" s="250"/>
      <c r="F548" s="250"/>
      <c r="G548" s="250"/>
      <c r="H548" s="252"/>
      <c r="I548" s="250"/>
      <c r="J548" s="253"/>
      <c r="K548" s="253"/>
      <c r="L548" s="250"/>
      <c r="M548" s="250"/>
      <c r="N548" s="250"/>
      <c r="O548" s="253"/>
      <c r="P548" s="253"/>
      <c r="Q548" s="250"/>
      <c r="R548" s="253"/>
      <c r="S548" s="253"/>
      <c r="T548" s="253"/>
      <c r="U548" s="253"/>
      <c r="V548" s="247"/>
    </row>
    <row r="549" spans="1:22">
      <c r="A549" s="242"/>
      <c r="B549" s="219"/>
      <c r="C549" s="239"/>
      <c r="D549" s="240"/>
      <c r="E549" s="240"/>
      <c r="F549" s="240"/>
      <c r="G549" s="240"/>
      <c r="H549" s="240"/>
      <c r="I549" s="240"/>
      <c r="J549" s="241"/>
      <c r="K549" s="241"/>
      <c r="L549" s="240"/>
      <c r="M549" s="240"/>
      <c r="N549" s="240"/>
      <c r="O549" s="241"/>
      <c r="P549" s="241"/>
      <c r="Q549" s="240"/>
      <c r="R549" s="241"/>
      <c r="S549" s="241"/>
      <c r="T549" s="241"/>
      <c r="U549" s="241"/>
      <c r="V549" s="247"/>
    </row>
    <row r="550" spans="1:22">
      <c r="A550" s="242"/>
      <c r="B550" s="243"/>
      <c r="C550" s="244"/>
      <c r="D550" s="245"/>
      <c r="E550" s="245"/>
      <c r="F550" s="245"/>
      <c r="G550" s="245"/>
      <c r="H550" s="245"/>
      <c r="I550" s="245"/>
      <c r="J550" s="246"/>
      <c r="K550" s="246"/>
      <c r="L550" s="245"/>
      <c r="M550" s="245"/>
      <c r="N550" s="245"/>
      <c r="O550" s="246"/>
      <c r="P550" s="246"/>
      <c r="Q550" s="245"/>
      <c r="R550" s="246"/>
      <c r="S550" s="246"/>
      <c r="T550" s="246"/>
      <c r="U550" s="246"/>
      <c r="V550" s="247"/>
    </row>
    <row r="551" spans="1:22">
      <c r="A551" s="242"/>
      <c r="B551" s="248"/>
      <c r="C551" s="249"/>
      <c r="D551" s="250"/>
      <c r="E551" s="250"/>
      <c r="F551" s="250"/>
      <c r="G551" s="250"/>
      <c r="H551" s="250"/>
      <c r="I551" s="250"/>
      <c r="J551" s="253"/>
      <c r="K551" s="253"/>
      <c r="L551" s="250"/>
      <c r="M551" s="250"/>
      <c r="N551" s="250"/>
      <c r="O551" s="253"/>
      <c r="P551" s="253"/>
      <c r="Q551" s="250"/>
      <c r="R551" s="253"/>
      <c r="S551" s="253"/>
      <c r="T551" s="253"/>
      <c r="U551" s="253"/>
      <c r="V551" s="247"/>
    </row>
    <row r="552" spans="1:22">
      <c r="A552" s="242"/>
      <c r="B552" s="219"/>
      <c r="C552" s="239"/>
      <c r="D552" s="240"/>
      <c r="E552" s="240"/>
      <c r="F552" s="240"/>
      <c r="G552" s="240"/>
      <c r="H552" s="240"/>
      <c r="I552" s="240"/>
      <c r="J552" s="241"/>
      <c r="K552" s="241"/>
      <c r="L552" s="240"/>
      <c r="M552" s="240"/>
      <c r="N552" s="240"/>
      <c r="O552" s="241"/>
      <c r="P552" s="241"/>
      <c r="Q552" s="240"/>
      <c r="R552" s="241"/>
      <c r="S552" s="241"/>
      <c r="T552" s="241"/>
      <c r="U552" s="241"/>
      <c r="V552" s="247"/>
    </row>
    <row r="553" spans="1:22">
      <c r="A553" s="242"/>
      <c r="B553" s="243"/>
      <c r="C553" s="244"/>
      <c r="D553" s="245"/>
      <c r="E553" s="245"/>
      <c r="F553" s="245"/>
      <c r="G553" s="245"/>
      <c r="H553" s="245"/>
      <c r="I553" s="245"/>
      <c r="J553" s="246"/>
      <c r="K553" s="246"/>
      <c r="L553" s="245"/>
      <c r="M553" s="245"/>
      <c r="N553" s="245"/>
      <c r="O553" s="246"/>
      <c r="P553" s="246"/>
      <c r="Q553" s="245"/>
      <c r="R553" s="246"/>
      <c r="S553" s="246"/>
      <c r="T553" s="246"/>
      <c r="U553" s="246"/>
      <c r="V553" s="247"/>
    </row>
    <row r="554" spans="1:22">
      <c r="A554" s="242"/>
      <c r="B554" s="248"/>
      <c r="C554" s="249"/>
      <c r="D554" s="250"/>
      <c r="E554" s="250"/>
      <c r="F554" s="250"/>
      <c r="G554" s="250"/>
      <c r="H554" s="250"/>
      <c r="I554" s="250"/>
      <c r="J554" s="253"/>
      <c r="K554" s="253"/>
      <c r="L554" s="250"/>
      <c r="M554" s="250"/>
      <c r="N554" s="250"/>
      <c r="O554" s="253"/>
      <c r="P554" s="253"/>
      <c r="Q554" s="250"/>
      <c r="R554" s="253"/>
      <c r="S554" s="253"/>
      <c r="T554" s="253"/>
      <c r="U554" s="253"/>
      <c r="V554" s="247"/>
    </row>
    <row r="555" spans="1:22">
      <c r="A555" s="242"/>
      <c r="B555" s="219"/>
      <c r="C555" s="239"/>
      <c r="D555" s="240"/>
      <c r="E555" s="240"/>
      <c r="F555" s="240"/>
      <c r="G555" s="240"/>
      <c r="H555" s="240"/>
      <c r="I555" s="240"/>
      <c r="J555" s="241"/>
      <c r="K555" s="241"/>
      <c r="L555" s="240"/>
      <c r="M555" s="240"/>
      <c r="N555" s="240"/>
      <c r="O555" s="241"/>
      <c r="P555" s="241"/>
      <c r="Q555" s="240"/>
      <c r="R555" s="241"/>
      <c r="S555" s="241"/>
      <c r="T555" s="241"/>
      <c r="U555" s="241"/>
      <c r="V555" s="247"/>
    </row>
    <row r="556" spans="1:22">
      <c r="A556" s="242"/>
      <c r="B556" s="243"/>
      <c r="C556" s="244"/>
      <c r="D556" s="245"/>
      <c r="E556" s="245"/>
      <c r="F556" s="245"/>
      <c r="G556" s="245"/>
      <c r="H556" s="245"/>
      <c r="I556" s="245"/>
      <c r="J556" s="246"/>
      <c r="K556" s="246"/>
      <c r="L556" s="245"/>
      <c r="M556" s="245"/>
      <c r="N556" s="245"/>
      <c r="O556" s="246"/>
      <c r="P556" s="246"/>
      <c r="Q556" s="245"/>
      <c r="R556" s="246"/>
      <c r="S556" s="246"/>
      <c r="T556" s="246"/>
      <c r="U556" s="246"/>
      <c r="V556" s="247"/>
    </row>
    <row r="557" spans="1:22">
      <c r="A557" s="242"/>
      <c r="B557" s="248"/>
      <c r="C557" s="249"/>
      <c r="D557" s="250"/>
      <c r="E557" s="250"/>
      <c r="F557" s="250"/>
      <c r="G557" s="250"/>
      <c r="H557" s="250"/>
      <c r="I557" s="250"/>
      <c r="J557" s="253"/>
      <c r="K557" s="253"/>
      <c r="L557" s="250"/>
      <c r="M557" s="250"/>
      <c r="N557" s="250"/>
      <c r="O557" s="253"/>
      <c r="P557" s="253"/>
      <c r="Q557" s="250"/>
      <c r="R557" s="253"/>
      <c r="S557" s="253"/>
      <c r="T557" s="253"/>
      <c r="U557" s="253"/>
      <c r="V557" s="247"/>
    </row>
    <row r="558" spans="1:22">
      <c r="A558" s="242"/>
      <c r="B558" s="219"/>
      <c r="C558" s="239"/>
      <c r="D558" s="240"/>
      <c r="E558" s="240"/>
      <c r="F558" s="240"/>
      <c r="G558" s="240"/>
      <c r="H558" s="240"/>
      <c r="I558" s="240"/>
      <c r="J558" s="241"/>
      <c r="K558" s="241"/>
      <c r="L558" s="240"/>
      <c r="M558" s="240"/>
      <c r="N558" s="240"/>
      <c r="O558" s="241"/>
      <c r="P558" s="241"/>
      <c r="Q558" s="240"/>
      <c r="R558" s="241"/>
      <c r="S558" s="241"/>
      <c r="T558" s="241"/>
      <c r="U558" s="241"/>
      <c r="V558" s="247"/>
    </row>
    <row r="559" spans="1:22">
      <c r="A559" s="242"/>
      <c r="B559" s="243"/>
      <c r="C559" s="244"/>
      <c r="D559" s="245"/>
      <c r="E559" s="245"/>
      <c r="F559" s="245"/>
      <c r="G559" s="245"/>
      <c r="H559" s="245"/>
      <c r="I559" s="245"/>
      <c r="J559" s="246"/>
      <c r="K559" s="246"/>
      <c r="L559" s="245"/>
      <c r="M559" s="245"/>
      <c r="N559" s="245"/>
      <c r="O559" s="246"/>
      <c r="P559" s="246"/>
      <c r="Q559" s="245"/>
      <c r="R559" s="246"/>
      <c r="S559" s="246"/>
      <c r="T559" s="246"/>
      <c r="U559" s="246"/>
      <c r="V559" s="247"/>
    </row>
    <row r="560" spans="1:22">
      <c r="A560" s="242"/>
      <c r="B560" s="248"/>
      <c r="C560" s="249"/>
      <c r="D560" s="250"/>
      <c r="E560" s="250"/>
      <c r="F560" s="250"/>
      <c r="G560" s="250"/>
      <c r="H560" s="250"/>
      <c r="I560" s="250"/>
      <c r="J560" s="253"/>
      <c r="K560" s="253"/>
      <c r="L560" s="250"/>
      <c r="M560" s="250"/>
      <c r="N560" s="250"/>
      <c r="O560" s="253"/>
      <c r="P560" s="253"/>
      <c r="Q560" s="250"/>
      <c r="R560" s="253"/>
      <c r="S560" s="253"/>
      <c r="T560" s="253"/>
      <c r="U560" s="253"/>
      <c r="V560" s="247"/>
    </row>
    <row r="561" spans="1:22">
      <c r="A561" s="242"/>
      <c r="B561" s="219"/>
      <c r="C561" s="239"/>
      <c r="D561" s="240"/>
      <c r="E561" s="240"/>
      <c r="F561" s="240"/>
      <c r="G561" s="240"/>
      <c r="H561" s="240"/>
      <c r="I561" s="240"/>
      <c r="J561" s="241"/>
      <c r="K561" s="241"/>
      <c r="L561" s="240"/>
      <c r="M561" s="240"/>
      <c r="N561" s="240"/>
      <c r="O561" s="241"/>
      <c r="P561" s="241"/>
      <c r="Q561" s="240"/>
      <c r="R561" s="241"/>
      <c r="S561" s="241"/>
      <c r="T561" s="241"/>
      <c r="U561" s="241"/>
      <c r="V561" s="247"/>
    </row>
    <row r="562" spans="1:22">
      <c r="A562" s="242"/>
      <c r="B562" s="243"/>
      <c r="C562" s="244"/>
      <c r="D562" s="245"/>
      <c r="E562" s="245"/>
      <c r="F562" s="245"/>
      <c r="G562" s="245"/>
      <c r="H562" s="245"/>
      <c r="I562" s="245"/>
      <c r="J562" s="246"/>
      <c r="K562" s="246"/>
      <c r="L562" s="245"/>
      <c r="M562" s="245"/>
      <c r="N562" s="245"/>
      <c r="O562" s="246"/>
      <c r="P562" s="246"/>
      <c r="Q562" s="245"/>
      <c r="R562" s="246"/>
      <c r="S562" s="246"/>
      <c r="T562" s="246"/>
      <c r="U562" s="246"/>
      <c r="V562" s="247"/>
    </row>
    <row r="563" spans="1:22" ht="15.75" thickBot="1">
      <c r="A563" s="242"/>
      <c r="B563" s="257"/>
      <c r="C563" s="258"/>
      <c r="D563" s="259"/>
      <c r="E563" s="259"/>
      <c r="F563" s="259"/>
      <c r="G563" s="259"/>
      <c r="H563" s="259"/>
      <c r="I563" s="259"/>
      <c r="J563" s="260"/>
      <c r="K563" s="260"/>
      <c r="L563" s="259"/>
      <c r="M563" s="259"/>
      <c r="N563" s="259"/>
      <c r="O563" s="260"/>
      <c r="P563" s="260"/>
      <c r="Q563" s="259"/>
      <c r="R563" s="260"/>
      <c r="S563" s="260"/>
      <c r="T563" s="260"/>
      <c r="U563" s="260"/>
      <c r="V563" s="247"/>
    </row>
    <row r="564" spans="1:22" ht="15.75" thickTop="1">
      <c r="A564" s="242"/>
      <c r="B564" s="243"/>
      <c r="C564" s="244"/>
      <c r="D564" s="245"/>
      <c r="E564" s="245"/>
      <c r="F564" s="245"/>
      <c r="G564" s="245"/>
      <c r="H564" s="245"/>
      <c r="I564" s="245"/>
      <c r="J564" s="246"/>
      <c r="K564" s="246"/>
      <c r="L564" s="245"/>
      <c r="M564" s="245"/>
      <c r="N564" s="245"/>
      <c r="O564" s="246"/>
      <c r="P564" s="246"/>
      <c r="Q564" s="245"/>
      <c r="R564" s="246"/>
      <c r="S564" s="246"/>
      <c r="T564" s="246"/>
      <c r="U564" s="246"/>
      <c r="V564" s="247"/>
    </row>
    <row r="565" spans="1:22">
      <c r="A565" s="242"/>
      <c r="B565" s="243"/>
      <c r="C565" s="244"/>
      <c r="D565" s="245"/>
      <c r="E565" s="245"/>
      <c r="F565" s="245"/>
      <c r="G565" s="245"/>
      <c r="H565" s="245"/>
      <c r="I565" s="245"/>
      <c r="J565" s="246"/>
      <c r="K565" s="246"/>
      <c r="L565" s="245"/>
      <c r="M565" s="245"/>
      <c r="N565" s="245"/>
      <c r="O565" s="246"/>
      <c r="P565" s="246"/>
      <c r="Q565" s="245"/>
      <c r="R565" s="246"/>
      <c r="S565" s="246"/>
      <c r="T565" s="246"/>
      <c r="U565" s="246"/>
      <c r="V565" s="247"/>
    </row>
    <row r="566" spans="1:22">
      <c r="A566" s="242"/>
      <c r="B566" s="248"/>
      <c r="C566" s="249"/>
      <c r="D566" s="250"/>
      <c r="E566" s="252"/>
      <c r="F566" s="250"/>
      <c r="G566" s="250"/>
      <c r="H566" s="252"/>
      <c r="I566" s="250"/>
      <c r="J566" s="253"/>
      <c r="K566" s="253"/>
      <c r="L566" s="250"/>
      <c r="M566" s="250"/>
      <c r="N566" s="250"/>
      <c r="O566" s="253"/>
      <c r="P566" s="253"/>
      <c r="Q566" s="250"/>
      <c r="R566" s="253"/>
      <c r="S566" s="253"/>
      <c r="T566" s="253"/>
      <c r="U566" s="253"/>
      <c r="V566" s="247"/>
    </row>
    <row r="567" spans="1:22">
      <c r="A567" s="242"/>
      <c r="B567" s="219"/>
      <c r="C567" s="239"/>
      <c r="D567" s="240"/>
      <c r="E567" s="240"/>
      <c r="F567" s="240"/>
      <c r="G567" s="240"/>
      <c r="H567" s="240"/>
      <c r="I567" s="240"/>
      <c r="J567" s="241"/>
      <c r="K567" s="241"/>
      <c r="L567" s="240"/>
      <c r="M567" s="240"/>
      <c r="N567" s="240"/>
      <c r="O567" s="241"/>
      <c r="P567" s="241"/>
      <c r="Q567" s="240"/>
      <c r="R567" s="241"/>
      <c r="S567" s="241"/>
      <c r="T567" s="241"/>
      <c r="U567" s="241"/>
      <c r="V567" s="247"/>
    </row>
    <row r="568" spans="1:22">
      <c r="A568" s="242"/>
      <c r="B568" s="243"/>
      <c r="C568" s="244"/>
      <c r="D568" s="245"/>
      <c r="E568" s="245"/>
      <c r="F568" s="245"/>
      <c r="G568" s="245"/>
      <c r="H568" s="245"/>
      <c r="I568" s="245"/>
      <c r="J568" s="246"/>
      <c r="K568" s="246"/>
      <c r="L568" s="245"/>
      <c r="M568" s="245"/>
      <c r="N568" s="245"/>
      <c r="O568" s="246"/>
      <c r="P568" s="246"/>
      <c r="Q568" s="245"/>
      <c r="R568" s="246"/>
      <c r="S568" s="246"/>
      <c r="T568" s="246"/>
      <c r="U568" s="246"/>
      <c r="V568" s="247"/>
    </row>
    <row r="569" spans="1:22">
      <c r="A569" s="242"/>
      <c r="B569" s="248"/>
      <c r="C569" s="249"/>
      <c r="D569" s="250"/>
      <c r="E569" s="250"/>
      <c r="F569" s="250"/>
      <c r="G569" s="250"/>
      <c r="H569" s="250"/>
      <c r="I569" s="250"/>
      <c r="J569" s="253"/>
      <c r="K569" s="253"/>
      <c r="L569" s="250"/>
      <c r="M569" s="250"/>
      <c r="N569" s="250"/>
      <c r="O569" s="253"/>
      <c r="P569" s="253"/>
      <c r="Q569" s="250"/>
      <c r="R569" s="253"/>
      <c r="S569" s="253"/>
      <c r="T569" s="253"/>
      <c r="U569" s="253"/>
      <c r="V569" s="247"/>
    </row>
    <row r="570" spans="1:22">
      <c r="A570" s="242"/>
      <c r="B570" s="219"/>
      <c r="C570" s="239"/>
      <c r="D570" s="240"/>
      <c r="E570" s="240"/>
      <c r="F570" s="240"/>
      <c r="G570" s="240"/>
      <c r="H570" s="240"/>
      <c r="I570" s="240"/>
      <c r="J570" s="241"/>
      <c r="K570" s="241"/>
      <c r="L570" s="240"/>
      <c r="M570" s="240"/>
      <c r="N570" s="240"/>
      <c r="O570" s="241"/>
      <c r="P570" s="241"/>
      <c r="Q570" s="240"/>
      <c r="R570" s="241"/>
      <c r="S570" s="241"/>
      <c r="T570" s="241"/>
      <c r="U570" s="241"/>
      <c r="V570" s="247"/>
    </row>
    <row r="571" spans="1:22">
      <c r="A571" s="242"/>
      <c r="B571" s="243"/>
      <c r="C571" s="244"/>
      <c r="D571" s="245"/>
      <c r="E571" s="245"/>
      <c r="F571" s="245"/>
      <c r="G571" s="245"/>
      <c r="H571" s="245"/>
      <c r="I571" s="245"/>
      <c r="J571" s="246"/>
      <c r="K571" s="246"/>
      <c r="L571" s="245"/>
      <c r="M571" s="245"/>
      <c r="N571" s="245"/>
      <c r="O571" s="246"/>
      <c r="P571" s="246"/>
      <c r="Q571" s="245"/>
      <c r="R571" s="246"/>
      <c r="S571" s="246"/>
      <c r="T571" s="246"/>
      <c r="U571" s="246"/>
      <c r="V571" s="247"/>
    </row>
    <row r="572" spans="1:22">
      <c r="A572" s="242"/>
      <c r="B572" s="248"/>
      <c r="C572" s="249"/>
      <c r="D572" s="250"/>
      <c r="E572" s="252"/>
      <c r="F572" s="250"/>
      <c r="G572" s="250"/>
      <c r="H572" s="252"/>
      <c r="I572" s="250"/>
      <c r="J572" s="253"/>
      <c r="K572" s="253"/>
      <c r="L572" s="250"/>
      <c r="M572" s="250"/>
      <c r="N572" s="250"/>
      <c r="O572" s="253"/>
      <c r="P572" s="253"/>
      <c r="Q572" s="250"/>
      <c r="R572" s="253"/>
      <c r="S572" s="253"/>
      <c r="T572" s="253"/>
      <c r="U572" s="253"/>
      <c r="V572" s="247"/>
    </row>
    <row r="573" spans="1:22">
      <c r="A573" s="242"/>
      <c r="B573" s="219"/>
      <c r="C573" s="239"/>
      <c r="D573" s="240"/>
      <c r="E573" s="240"/>
      <c r="F573" s="240"/>
      <c r="G573" s="240"/>
      <c r="H573" s="240"/>
      <c r="I573" s="240"/>
      <c r="J573" s="241"/>
      <c r="K573" s="241"/>
      <c r="L573" s="240"/>
      <c r="M573" s="240"/>
      <c r="N573" s="240"/>
      <c r="O573" s="241"/>
      <c r="P573" s="241"/>
      <c r="Q573" s="240"/>
      <c r="R573" s="241"/>
      <c r="S573" s="241"/>
      <c r="T573" s="241"/>
      <c r="U573" s="241"/>
      <c r="V573" s="247"/>
    </row>
    <row r="574" spans="1:22">
      <c r="A574" s="242"/>
      <c r="B574" s="243"/>
      <c r="C574" s="244"/>
      <c r="D574" s="245"/>
      <c r="E574" s="245"/>
      <c r="F574" s="245"/>
      <c r="G574" s="245"/>
      <c r="H574" s="245"/>
      <c r="I574" s="245"/>
      <c r="J574" s="246"/>
      <c r="K574" s="246"/>
      <c r="L574" s="245"/>
      <c r="M574" s="245"/>
      <c r="N574" s="245"/>
      <c r="O574" s="246"/>
      <c r="P574" s="246"/>
      <c r="Q574" s="245"/>
      <c r="R574" s="246"/>
      <c r="S574" s="246"/>
      <c r="T574" s="246"/>
      <c r="U574" s="246"/>
      <c r="V574" s="247"/>
    </row>
    <row r="575" spans="1:22">
      <c r="A575" s="242"/>
      <c r="B575" s="248"/>
      <c r="C575" s="249"/>
      <c r="D575" s="250"/>
      <c r="E575" s="250"/>
      <c r="F575" s="250"/>
      <c r="G575" s="250"/>
      <c r="H575" s="250"/>
      <c r="I575" s="250"/>
      <c r="J575" s="253"/>
      <c r="K575" s="253"/>
      <c r="L575" s="250"/>
      <c r="M575" s="250"/>
      <c r="N575" s="250"/>
      <c r="O575" s="253"/>
      <c r="P575" s="253"/>
      <c r="Q575" s="250"/>
      <c r="R575" s="253"/>
      <c r="S575" s="253"/>
      <c r="T575" s="253"/>
      <c r="U575" s="253"/>
      <c r="V575" s="247"/>
    </row>
    <row r="576" spans="1:22">
      <c r="A576" s="242"/>
      <c r="B576" s="219"/>
      <c r="C576" s="239"/>
      <c r="D576" s="240"/>
      <c r="E576" s="240"/>
      <c r="F576" s="240"/>
      <c r="G576" s="240"/>
      <c r="H576" s="240"/>
      <c r="I576" s="240"/>
      <c r="J576" s="241"/>
      <c r="K576" s="241"/>
      <c r="L576" s="240"/>
      <c r="M576" s="240"/>
      <c r="N576" s="240"/>
      <c r="O576" s="241"/>
      <c r="P576" s="241"/>
      <c r="Q576" s="240"/>
      <c r="R576" s="241"/>
      <c r="S576" s="241"/>
      <c r="T576" s="241"/>
      <c r="U576" s="241"/>
      <c r="V576" s="247"/>
    </row>
    <row r="577" spans="1:22">
      <c r="A577" s="242"/>
      <c r="B577" s="243"/>
      <c r="C577" s="244"/>
      <c r="D577" s="245"/>
      <c r="E577" s="245"/>
      <c r="F577" s="245"/>
      <c r="G577" s="245"/>
      <c r="H577" s="245"/>
      <c r="I577" s="245"/>
      <c r="J577" s="246"/>
      <c r="K577" s="246"/>
      <c r="L577" s="245"/>
      <c r="M577" s="245"/>
      <c r="N577" s="245"/>
      <c r="O577" s="246"/>
      <c r="P577" s="246"/>
      <c r="Q577" s="245"/>
      <c r="R577" s="246"/>
      <c r="S577" s="246"/>
      <c r="T577" s="246"/>
      <c r="U577" s="246"/>
      <c r="V577" s="247"/>
    </row>
    <row r="578" spans="1:22">
      <c r="A578" s="242"/>
      <c r="B578" s="248"/>
      <c r="C578" s="249"/>
      <c r="D578" s="250"/>
      <c r="E578" s="250"/>
      <c r="F578" s="250"/>
      <c r="G578" s="250"/>
      <c r="H578" s="250"/>
      <c r="I578" s="250"/>
      <c r="J578" s="253"/>
      <c r="K578" s="253"/>
      <c r="L578" s="250"/>
      <c r="M578" s="250"/>
      <c r="N578" s="250"/>
      <c r="O578" s="253"/>
      <c r="P578" s="253"/>
      <c r="Q578" s="250"/>
      <c r="R578" s="253"/>
      <c r="S578" s="253"/>
      <c r="T578" s="253"/>
      <c r="U578" s="253"/>
      <c r="V578" s="247"/>
    </row>
    <row r="579" spans="1:22">
      <c r="A579" s="242"/>
      <c r="B579" s="219"/>
      <c r="C579" s="239"/>
      <c r="D579" s="240"/>
      <c r="E579" s="240"/>
      <c r="F579" s="240"/>
      <c r="G579" s="240"/>
      <c r="H579" s="240"/>
      <c r="I579" s="240"/>
      <c r="J579" s="241"/>
      <c r="K579" s="241"/>
      <c r="L579" s="240"/>
      <c r="M579" s="240"/>
      <c r="N579" s="240"/>
      <c r="O579" s="241"/>
      <c r="P579" s="241"/>
      <c r="Q579" s="240"/>
      <c r="R579" s="241"/>
      <c r="S579" s="241"/>
      <c r="T579" s="241"/>
      <c r="U579" s="241"/>
      <c r="V579" s="247"/>
    </row>
    <row r="580" spans="1:22">
      <c r="A580" s="242"/>
      <c r="B580" s="243"/>
      <c r="C580" s="244"/>
      <c r="D580" s="245"/>
      <c r="E580" s="245"/>
      <c r="F580" s="245"/>
      <c r="G580" s="245"/>
      <c r="H580" s="245"/>
      <c r="I580" s="245"/>
      <c r="J580" s="246"/>
      <c r="K580" s="246"/>
      <c r="L580" s="245"/>
      <c r="M580" s="245"/>
      <c r="N580" s="245"/>
      <c r="O580" s="246"/>
      <c r="P580" s="246"/>
      <c r="Q580" s="245"/>
      <c r="R580" s="246"/>
      <c r="S580" s="246"/>
      <c r="T580" s="246"/>
      <c r="U580" s="246"/>
      <c r="V580" s="247"/>
    </row>
    <row r="581" spans="1:22" ht="15.75" thickBot="1">
      <c r="A581" s="261"/>
      <c r="B581" s="262"/>
      <c r="C581" s="263"/>
      <c r="D581" s="264"/>
      <c r="E581" s="264"/>
      <c r="F581" s="264"/>
      <c r="G581" s="264"/>
      <c r="H581" s="264"/>
      <c r="I581" s="264"/>
      <c r="J581" s="265"/>
      <c r="K581" s="265"/>
      <c r="L581" s="264"/>
      <c r="M581" s="264"/>
      <c r="N581" s="264"/>
      <c r="O581" s="265"/>
      <c r="P581" s="265"/>
      <c r="Q581" s="264"/>
      <c r="R581" s="265"/>
      <c r="S581" s="265"/>
      <c r="T581" s="265"/>
      <c r="U581" s="265"/>
      <c r="V581" s="247"/>
    </row>
    <row r="582" spans="1:22">
      <c r="A582" s="238"/>
      <c r="B582" s="219"/>
      <c r="C582" s="239"/>
      <c r="D582" s="240"/>
      <c r="E582" s="240"/>
      <c r="F582" s="240"/>
      <c r="G582" s="240"/>
      <c r="H582" s="240"/>
      <c r="I582" s="240"/>
      <c r="J582" s="241"/>
      <c r="K582" s="241"/>
      <c r="L582" s="240"/>
      <c r="M582" s="240"/>
      <c r="N582" s="240"/>
      <c r="O582" s="241"/>
      <c r="P582" s="241"/>
      <c r="Q582" s="240"/>
      <c r="R582" s="241"/>
      <c r="S582" s="241"/>
      <c r="T582" s="241"/>
      <c r="U582" s="241"/>
      <c r="V582" s="247"/>
    </row>
    <row r="583" spans="1:22">
      <c r="A583" s="242"/>
      <c r="B583" s="243"/>
      <c r="C583" s="244"/>
      <c r="D583" s="245"/>
      <c r="E583" s="245"/>
      <c r="F583" s="245"/>
      <c r="G583" s="245"/>
      <c r="H583" s="245"/>
      <c r="I583" s="245"/>
      <c r="J583" s="246"/>
      <c r="K583" s="246"/>
      <c r="L583" s="245"/>
      <c r="M583" s="245"/>
      <c r="N583" s="245"/>
      <c r="O583" s="246"/>
      <c r="P583" s="246"/>
      <c r="Q583" s="245"/>
      <c r="R583" s="246"/>
      <c r="S583" s="246"/>
      <c r="T583" s="246"/>
      <c r="U583" s="246"/>
      <c r="V583" s="247"/>
    </row>
    <row r="584" spans="1:22">
      <c r="A584" s="242"/>
      <c r="B584" s="248"/>
      <c r="C584" s="249"/>
      <c r="D584" s="250"/>
      <c r="E584" s="250"/>
      <c r="F584" s="250"/>
      <c r="G584" s="250"/>
      <c r="H584" s="250"/>
      <c r="I584" s="250"/>
      <c r="J584" s="253"/>
      <c r="K584" s="253"/>
      <c r="L584" s="250"/>
      <c r="M584" s="250"/>
      <c r="N584" s="250"/>
      <c r="O584" s="253"/>
      <c r="P584" s="253"/>
      <c r="Q584" s="250"/>
      <c r="R584" s="253"/>
      <c r="S584" s="253"/>
      <c r="T584" s="253"/>
      <c r="U584" s="253"/>
      <c r="V584" s="247"/>
    </row>
    <row r="585" spans="1:22">
      <c r="A585" s="242"/>
      <c r="B585" s="219"/>
      <c r="C585" s="239"/>
      <c r="D585" s="240"/>
      <c r="E585" s="240"/>
      <c r="F585" s="240"/>
      <c r="G585" s="240"/>
      <c r="H585" s="240"/>
      <c r="I585" s="240"/>
      <c r="J585" s="241"/>
      <c r="K585" s="241"/>
      <c r="L585" s="240"/>
      <c r="M585" s="240"/>
      <c r="N585" s="240"/>
      <c r="O585" s="241"/>
      <c r="P585" s="241"/>
      <c r="Q585" s="240"/>
      <c r="R585" s="241"/>
      <c r="S585" s="241"/>
      <c r="T585" s="241"/>
      <c r="U585" s="241"/>
      <c r="V585" s="247"/>
    </row>
    <row r="586" spans="1:22">
      <c r="A586" s="242"/>
      <c r="B586" s="243"/>
      <c r="C586" s="244"/>
      <c r="D586" s="245"/>
      <c r="E586" s="245"/>
      <c r="F586" s="245"/>
      <c r="G586" s="245"/>
      <c r="H586" s="245"/>
      <c r="I586" s="245"/>
      <c r="J586" s="246"/>
      <c r="K586" s="246"/>
      <c r="L586" s="245"/>
      <c r="M586" s="245"/>
      <c r="N586" s="245"/>
      <c r="O586" s="246"/>
      <c r="P586" s="246"/>
      <c r="Q586" s="245"/>
      <c r="R586" s="246"/>
      <c r="S586" s="246"/>
      <c r="T586" s="246"/>
      <c r="U586" s="246"/>
      <c r="V586" s="247"/>
    </row>
    <row r="587" spans="1:22">
      <c r="A587" s="242"/>
      <c r="B587" s="248"/>
      <c r="C587" s="249"/>
      <c r="D587" s="250"/>
      <c r="E587" s="250"/>
      <c r="F587" s="250"/>
      <c r="G587" s="250"/>
      <c r="H587" s="250"/>
      <c r="I587" s="250"/>
      <c r="J587" s="253"/>
      <c r="K587" s="253"/>
      <c r="L587" s="250"/>
      <c r="M587" s="250"/>
      <c r="N587" s="250"/>
      <c r="O587" s="253"/>
      <c r="P587" s="253"/>
      <c r="Q587" s="250"/>
      <c r="R587" s="253"/>
      <c r="S587" s="253"/>
      <c r="T587" s="253"/>
      <c r="U587" s="253"/>
      <c r="V587" s="247"/>
    </row>
    <row r="588" spans="1:22">
      <c r="A588" s="242"/>
      <c r="B588" s="219"/>
      <c r="C588" s="239"/>
      <c r="D588" s="240"/>
      <c r="E588" s="240"/>
      <c r="F588" s="240"/>
      <c r="G588" s="240"/>
      <c r="H588" s="240"/>
      <c r="I588" s="240"/>
      <c r="J588" s="241"/>
      <c r="K588" s="241"/>
      <c r="L588" s="240"/>
      <c r="M588" s="240"/>
      <c r="N588" s="240"/>
      <c r="O588" s="241"/>
      <c r="P588" s="241"/>
      <c r="Q588" s="240"/>
      <c r="R588" s="241"/>
      <c r="S588" s="241"/>
      <c r="T588" s="241"/>
      <c r="U588" s="241"/>
      <c r="V588" s="247"/>
    </row>
    <row r="589" spans="1:22">
      <c r="A589" s="242"/>
      <c r="B589" s="243"/>
      <c r="C589" s="244"/>
      <c r="D589" s="245"/>
      <c r="E589" s="245"/>
      <c r="F589" s="245"/>
      <c r="G589" s="245"/>
      <c r="H589" s="245"/>
      <c r="I589" s="245"/>
      <c r="J589" s="246"/>
      <c r="K589" s="246"/>
      <c r="L589" s="245"/>
      <c r="M589" s="245"/>
      <c r="N589" s="245"/>
      <c r="O589" s="246"/>
      <c r="P589" s="246"/>
      <c r="Q589" s="245"/>
      <c r="R589" s="246"/>
      <c r="S589" s="246"/>
      <c r="T589" s="246"/>
      <c r="U589" s="246"/>
      <c r="V589" s="247"/>
    </row>
    <row r="590" spans="1:22">
      <c r="A590" s="242"/>
      <c r="B590" s="248"/>
      <c r="C590" s="249"/>
      <c r="D590" s="250"/>
      <c r="E590" s="250"/>
      <c r="F590" s="250"/>
      <c r="G590" s="250"/>
      <c r="H590" s="250"/>
      <c r="I590" s="250"/>
      <c r="J590" s="253"/>
      <c r="K590" s="253"/>
      <c r="L590" s="250"/>
      <c r="M590" s="250"/>
      <c r="N590" s="250"/>
      <c r="O590" s="253"/>
      <c r="P590" s="253"/>
      <c r="Q590" s="250"/>
      <c r="R590" s="253"/>
      <c r="S590" s="253"/>
      <c r="T590" s="253"/>
      <c r="U590" s="253"/>
      <c r="V590" s="247"/>
    </row>
    <row r="591" spans="1:22">
      <c r="A591" s="242"/>
      <c r="B591" s="219"/>
      <c r="C591" s="239"/>
      <c r="D591" s="240"/>
      <c r="E591" s="240"/>
      <c r="F591" s="240"/>
      <c r="G591" s="240"/>
      <c r="H591" s="240"/>
      <c r="I591" s="240"/>
      <c r="J591" s="241"/>
      <c r="K591" s="241"/>
      <c r="L591" s="240"/>
      <c r="M591" s="240"/>
      <c r="N591" s="240"/>
      <c r="O591" s="241"/>
      <c r="P591" s="241"/>
      <c r="Q591" s="240"/>
      <c r="R591" s="241"/>
      <c r="S591" s="241"/>
      <c r="T591" s="241"/>
      <c r="U591" s="241"/>
      <c r="V591" s="247"/>
    </row>
    <row r="592" spans="1:22">
      <c r="A592" s="242"/>
      <c r="B592" s="243"/>
      <c r="C592" s="244"/>
      <c r="D592" s="245"/>
      <c r="E592" s="245"/>
      <c r="F592" s="245"/>
      <c r="G592" s="245"/>
      <c r="H592" s="245"/>
      <c r="I592" s="245"/>
      <c r="J592" s="246"/>
      <c r="K592" s="246"/>
      <c r="L592" s="245"/>
      <c r="M592" s="245"/>
      <c r="N592" s="245"/>
      <c r="O592" s="246"/>
      <c r="P592" s="246"/>
      <c r="Q592" s="245"/>
      <c r="R592" s="246"/>
      <c r="S592" s="246"/>
      <c r="T592" s="246"/>
      <c r="U592" s="246"/>
      <c r="V592" s="247"/>
    </row>
    <row r="593" spans="1:22">
      <c r="A593" s="242"/>
      <c r="B593" s="248"/>
      <c r="C593" s="249"/>
      <c r="D593" s="250"/>
      <c r="E593" s="250"/>
      <c r="F593" s="250"/>
      <c r="G593" s="250"/>
      <c r="H593" s="250"/>
      <c r="I593" s="250"/>
      <c r="J593" s="253"/>
      <c r="K593" s="253"/>
      <c r="L593" s="250"/>
      <c r="M593" s="250"/>
      <c r="N593" s="250"/>
      <c r="O593" s="253"/>
      <c r="P593" s="253"/>
      <c r="Q593" s="250"/>
      <c r="R593" s="253"/>
      <c r="S593" s="253"/>
      <c r="T593" s="253"/>
      <c r="U593" s="253"/>
      <c r="V593" s="247"/>
    </row>
    <row r="594" spans="1:22">
      <c r="A594" s="242"/>
      <c r="B594" s="219"/>
      <c r="C594" s="239"/>
      <c r="D594" s="240"/>
      <c r="E594" s="240"/>
      <c r="F594" s="240"/>
      <c r="G594" s="240"/>
      <c r="H594" s="240"/>
      <c r="I594" s="240"/>
      <c r="J594" s="241"/>
      <c r="K594" s="241"/>
      <c r="L594" s="240"/>
      <c r="M594" s="240"/>
      <c r="N594" s="240"/>
      <c r="O594" s="241"/>
      <c r="P594" s="241"/>
      <c r="Q594" s="240"/>
      <c r="R594" s="241"/>
      <c r="S594" s="241"/>
      <c r="T594" s="241"/>
      <c r="U594" s="241"/>
      <c r="V594" s="247"/>
    </row>
    <row r="595" spans="1:22">
      <c r="A595" s="242"/>
      <c r="B595" s="243"/>
      <c r="C595" s="244"/>
      <c r="D595" s="245"/>
      <c r="E595" s="245"/>
      <c r="F595" s="245"/>
      <c r="G595" s="245"/>
      <c r="H595" s="245"/>
      <c r="I595" s="245"/>
      <c r="J595" s="246"/>
      <c r="K595" s="246"/>
      <c r="L595" s="245"/>
      <c r="M595" s="245"/>
      <c r="N595" s="245"/>
      <c r="O595" s="246"/>
      <c r="P595" s="246"/>
      <c r="Q595" s="245"/>
      <c r="R595" s="246"/>
      <c r="S595" s="246"/>
      <c r="T595" s="246"/>
      <c r="U595" s="246"/>
      <c r="V595" s="247"/>
    </row>
    <row r="596" spans="1:22">
      <c r="A596" s="242"/>
      <c r="B596" s="248"/>
      <c r="C596" s="249"/>
      <c r="D596" s="250"/>
      <c r="E596" s="250"/>
      <c r="F596" s="250"/>
      <c r="G596" s="250"/>
      <c r="H596" s="250"/>
      <c r="I596" s="250"/>
      <c r="J596" s="253"/>
      <c r="K596" s="253"/>
      <c r="L596" s="250"/>
      <c r="M596" s="250"/>
      <c r="N596" s="250"/>
      <c r="O596" s="253"/>
      <c r="P596" s="253"/>
      <c r="Q596" s="250"/>
      <c r="R596" s="253"/>
      <c r="S596" s="253"/>
      <c r="T596" s="253"/>
      <c r="U596" s="253"/>
      <c r="V596" s="247"/>
    </row>
    <row r="597" spans="1:22">
      <c r="A597" s="242"/>
      <c r="B597" s="219"/>
      <c r="C597" s="239"/>
      <c r="D597" s="240"/>
      <c r="E597" s="240"/>
      <c r="F597" s="240"/>
      <c r="G597" s="240"/>
      <c r="H597" s="240"/>
      <c r="I597" s="240"/>
      <c r="J597" s="241"/>
      <c r="K597" s="241"/>
      <c r="L597" s="240"/>
      <c r="M597" s="240"/>
      <c r="N597" s="240"/>
      <c r="O597" s="241"/>
      <c r="P597" s="241"/>
      <c r="Q597" s="240"/>
      <c r="R597" s="241"/>
      <c r="S597" s="241"/>
      <c r="T597" s="241"/>
      <c r="U597" s="241"/>
      <c r="V597" s="247"/>
    </row>
    <row r="598" spans="1:22">
      <c r="A598" s="242"/>
      <c r="B598" s="243"/>
      <c r="C598" s="244"/>
      <c r="D598" s="245"/>
      <c r="E598" s="245"/>
      <c r="F598" s="245"/>
      <c r="G598" s="245"/>
      <c r="H598" s="245"/>
      <c r="I598" s="245"/>
      <c r="J598" s="246"/>
      <c r="K598" s="246"/>
      <c r="L598" s="245"/>
      <c r="M598" s="245"/>
      <c r="N598" s="245"/>
      <c r="O598" s="246"/>
      <c r="P598" s="246"/>
      <c r="Q598" s="245"/>
      <c r="R598" s="246"/>
      <c r="S598" s="246"/>
      <c r="T598" s="246"/>
      <c r="U598" s="246"/>
      <c r="V598" s="247"/>
    </row>
    <row r="599" spans="1:22" ht="15.75" thickBot="1">
      <c r="A599" s="242"/>
      <c r="B599" s="257"/>
      <c r="C599" s="258"/>
      <c r="D599" s="259"/>
      <c r="E599" s="259"/>
      <c r="F599" s="259"/>
      <c r="G599" s="259"/>
      <c r="H599" s="259"/>
      <c r="I599" s="259"/>
      <c r="J599" s="260"/>
      <c r="K599" s="260"/>
      <c r="L599" s="259"/>
      <c r="M599" s="259"/>
      <c r="N599" s="259"/>
      <c r="O599" s="260"/>
      <c r="P599" s="260"/>
      <c r="Q599" s="259"/>
      <c r="R599" s="260"/>
      <c r="S599" s="260"/>
      <c r="T599" s="260"/>
      <c r="U599" s="260"/>
      <c r="V599" s="247"/>
    </row>
    <row r="600" spans="1:22" ht="15.75" thickTop="1">
      <c r="A600" s="242"/>
      <c r="B600" s="243"/>
      <c r="C600" s="244"/>
      <c r="D600" s="245"/>
      <c r="E600" s="245"/>
      <c r="F600" s="245"/>
      <c r="G600" s="245"/>
      <c r="H600" s="245"/>
      <c r="I600" s="245"/>
      <c r="J600" s="246"/>
      <c r="K600" s="246"/>
      <c r="L600" s="245"/>
      <c r="M600" s="245"/>
      <c r="N600" s="245"/>
      <c r="O600" s="246"/>
      <c r="P600" s="246"/>
      <c r="Q600" s="245"/>
      <c r="R600" s="246"/>
      <c r="S600" s="246"/>
      <c r="T600" s="246"/>
      <c r="U600" s="246"/>
      <c r="V600" s="247"/>
    </row>
    <row r="601" spans="1:22">
      <c r="A601" s="242"/>
      <c r="B601" s="243"/>
      <c r="C601" s="244"/>
      <c r="D601" s="245"/>
      <c r="E601" s="245"/>
      <c r="F601" s="245"/>
      <c r="G601" s="245"/>
      <c r="H601" s="245"/>
      <c r="I601" s="245"/>
      <c r="J601" s="246"/>
      <c r="K601" s="246"/>
      <c r="L601" s="245"/>
      <c r="M601" s="245"/>
      <c r="N601" s="245"/>
      <c r="O601" s="246"/>
      <c r="P601" s="246"/>
      <c r="Q601" s="245"/>
      <c r="R601" s="246"/>
      <c r="S601" s="246"/>
      <c r="T601" s="246"/>
      <c r="U601" s="246"/>
      <c r="V601" s="247"/>
    </row>
    <row r="602" spans="1:22">
      <c r="A602" s="242"/>
      <c r="B602" s="248"/>
      <c r="C602" s="249"/>
      <c r="D602" s="250"/>
      <c r="E602" s="250"/>
      <c r="F602" s="250"/>
      <c r="G602" s="250"/>
      <c r="H602" s="250"/>
      <c r="I602" s="250"/>
      <c r="J602" s="253"/>
      <c r="K602" s="253"/>
      <c r="L602" s="250"/>
      <c r="M602" s="250"/>
      <c r="N602" s="250"/>
      <c r="O602" s="253"/>
      <c r="P602" s="253"/>
      <c r="Q602" s="250"/>
      <c r="R602" s="253"/>
      <c r="S602" s="253"/>
      <c r="T602" s="253"/>
      <c r="U602" s="253"/>
      <c r="V602" s="247"/>
    </row>
    <row r="603" spans="1:22">
      <c r="A603" s="242"/>
      <c r="B603" s="219"/>
      <c r="C603" s="239"/>
      <c r="D603" s="240"/>
      <c r="E603" s="240"/>
      <c r="F603" s="240"/>
      <c r="G603" s="240"/>
      <c r="H603" s="240"/>
      <c r="I603" s="240"/>
      <c r="J603" s="241"/>
      <c r="K603" s="241"/>
      <c r="L603" s="240"/>
      <c r="M603" s="240"/>
      <c r="N603" s="240"/>
      <c r="O603" s="241"/>
      <c r="P603" s="241"/>
      <c r="Q603" s="240"/>
      <c r="R603" s="241"/>
      <c r="S603" s="241"/>
      <c r="T603" s="241"/>
      <c r="U603" s="241"/>
      <c r="V603" s="247"/>
    </row>
    <row r="604" spans="1:22">
      <c r="A604" s="242"/>
      <c r="B604" s="243"/>
      <c r="C604" s="244"/>
      <c r="D604" s="245"/>
      <c r="E604" s="245"/>
      <c r="F604" s="245"/>
      <c r="G604" s="245"/>
      <c r="H604" s="245"/>
      <c r="I604" s="245"/>
      <c r="J604" s="246"/>
      <c r="K604" s="246"/>
      <c r="L604" s="245"/>
      <c r="M604" s="245"/>
      <c r="N604" s="245"/>
      <c r="O604" s="246"/>
      <c r="P604" s="246"/>
      <c r="Q604" s="245"/>
      <c r="R604" s="246"/>
      <c r="S604" s="246"/>
      <c r="T604" s="246"/>
      <c r="U604" s="246"/>
      <c r="V604" s="247"/>
    </row>
    <row r="605" spans="1:22">
      <c r="A605" s="242"/>
      <c r="B605" s="248"/>
      <c r="C605" s="249"/>
      <c r="D605" s="250"/>
      <c r="E605" s="250"/>
      <c r="F605" s="250"/>
      <c r="G605" s="250"/>
      <c r="H605" s="250"/>
      <c r="I605" s="250"/>
      <c r="J605" s="253"/>
      <c r="K605" s="253"/>
      <c r="L605" s="250"/>
      <c r="M605" s="250"/>
      <c r="N605" s="250"/>
      <c r="O605" s="253"/>
      <c r="P605" s="253"/>
      <c r="Q605" s="250"/>
      <c r="R605" s="253"/>
      <c r="S605" s="253"/>
      <c r="T605" s="253"/>
      <c r="U605" s="253"/>
      <c r="V605" s="247"/>
    </row>
    <row r="606" spans="1:22">
      <c r="A606" s="242"/>
      <c r="B606" s="219"/>
      <c r="C606" s="239"/>
      <c r="D606" s="240"/>
      <c r="E606" s="240"/>
      <c r="F606" s="240"/>
      <c r="G606" s="240"/>
      <c r="H606" s="240"/>
      <c r="I606" s="240"/>
      <c r="J606" s="241"/>
      <c r="K606" s="241"/>
      <c r="L606" s="240"/>
      <c r="M606" s="240"/>
      <c r="N606" s="240"/>
      <c r="O606" s="241"/>
      <c r="P606" s="241"/>
      <c r="Q606" s="240"/>
      <c r="R606" s="241"/>
      <c r="S606" s="241"/>
      <c r="T606" s="241"/>
      <c r="U606" s="241"/>
      <c r="V606" s="247"/>
    </row>
    <row r="607" spans="1:22">
      <c r="A607" s="242"/>
      <c r="B607" s="243"/>
      <c r="C607" s="244"/>
      <c r="D607" s="245"/>
      <c r="E607" s="245"/>
      <c r="F607" s="245"/>
      <c r="G607" s="245"/>
      <c r="H607" s="245"/>
      <c r="I607" s="245"/>
      <c r="J607" s="246"/>
      <c r="K607" s="246"/>
      <c r="L607" s="245"/>
      <c r="M607" s="245"/>
      <c r="N607" s="245"/>
      <c r="O607" s="246"/>
      <c r="P607" s="246"/>
      <c r="Q607" s="245"/>
      <c r="R607" s="246"/>
      <c r="S607" s="246"/>
      <c r="T607" s="246"/>
      <c r="U607" s="246"/>
      <c r="V607" s="247"/>
    </row>
    <row r="608" spans="1:22">
      <c r="A608" s="242"/>
      <c r="B608" s="248"/>
      <c r="C608" s="249"/>
      <c r="D608" s="250"/>
      <c r="E608" s="250"/>
      <c r="F608" s="250"/>
      <c r="G608" s="250"/>
      <c r="H608" s="250"/>
      <c r="I608" s="250"/>
      <c r="J608" s="253"/>
      <c r="K608" s="253"/>
      <c r="L608" s="250"/>
      <c r="M608" s="250"/>
      <c r="N608" s="250"/>
      <c r="O608" s="253"/>
      <c r="P608" s="253"/>
      <c r="Q608" s="250"/>
      <c r="R608" s="253"/>
      <c r="S608" s="253"/>
      <c r="T608" s="253"/>
      <c r="U608" s="253"/>
      <c r="V608" s="247"/>
    </row>
    <row r="609" spans="1:22">
      <c r="A609" s="242"/>
      <c r="B609" s="219"/>
      <c r="C609" s="239"/>
      <c r="D609" s="240"/>
      <c r="E609" s="240"/>
      <c r="F609" s="240"/>
      <c r="G609" s="240"/>
      <c r="H609" s="240"/>
      <c r="I609" s="240"/>
      <c r="J609" s="241"/>
      <c r="K609" s="241"/>
      <c r="L609" s="240"/>
      <c r="M609" s="240"/>
      <c r="N609" s="240"/>
      <c r="O609" s="241"/>
      <c r="P609" s="241"/>
      <c r="Q609" s="240"/>
      <c r="R609" s="241"/>
      <c r="S609" s="241"/>
      <c r="T609" s="241"/>
      <c r="U609" s="241"/>
      <c r="V609" s="247"/>
    </row>
    <row r="610" spans="1:22">
      <c r="A610" s="242"/>
      <c r="B610" s="243"/>
      <c r="C610" s="244"/>
      <c r="D610" s="245"/>
      <c r="E610" s="245"/>
      <c r="F610" s="245"/>
      <c r="G610" s="245"/>
      <c r="H610" s="245"/>
      <c r="I610" s="245"/>
      <c r="J610" s="246"/>
      <c r="K610" s="246"/>
      <c r="L610" s="245"/>
      <c r="M610" s="245"/>
      <c r="N610" s="245"/>
      <c r="O610" s="246"/>
      <c r="P610" s="246"/>
      <c r="Q610" s="245"/>
      <c r="R610" s="246"/>
      <c r="S610" s="246"/>
      <c r="T610" s="246"/>
      <c r="U610" s="246"/>
      <c r="V610" s="247"/>
    </row>
    <row r="611" spans="1:22">
      <c r="A611" s="242"/>
      <c r="B611" s="248"/>
      <c r="C611" s="249"/>
      <c r="D611" s="250"/>
      <c r="E611" s="250"/>
      <c r="F611" s="250"/>
      <c r="G611" s="250"/>
      <c r="H611" s="250"/>
      <c r="I611" s="250"/>
      <c r="J611" s="253"/>
      <c r="K611" s="253"/>
      <c r="L611" s="250"/>
      <c r="M611" s="250"/>
      <c r="N611" s="250"/>
      <c r="O611" s="253"/>
      <c r="P611" s="253"/>
      <c r="Q611" s="250"/>
      <c r="R611" s="253"/>
      <c r="S611" s="253"/>
      <c r="T611" s="253"/>
      <c r="U611" s="253"/>
      <c r="V611" s="247"/>
    </row>
    <row r="612" spans="1:22">
      <c r="A612" s="242"/>
      <c r="B612" s="219"/>
      <c r="C612" s="239"/>
      <c r="D612" s="240"/>
      <c r="E612" s="240"/>
      <c r="F612" s="240"/>
      <c r="G612" s="240"/>
      <c r="H612" s="240"/>
      <c r="I612" s="240"/>
      <c r="J612" s="241"/>
      <c r="K612" s="241"/>
      <c r="L612" s="240"/>
      <c r="M612" s="240"/>
      <c r="N612" s="240"/>
      <c r="O612" s="241"/>
      <c r="P612" s="241"/>
      <c r="Q612" s="240"/>
      <c r="R612" s="241"/>
      <c r="S612" s="241"/>
      <c r="T612" s="241"/>
      <c r="U612" s="241"/>
      <c r="V612" s="247"/>
    </row>
    <row r="613" spans="1:22">
      <c r="A613" s="242"/>
      <c r="B613" s="243"/>
      <c r="C613" s="244"/>
      <c r="D613" s="245"/>
      <c r="E613" s="245"/>
      <c r="F613" s="245"/>
      <c r="G613" s="245"/>
      <c r="H613" s="245"/>
      <c r="I613" s="245"/>
      <c r="J613" s="246"/>
      <c r="K613" s="246"/>
      <c r="L613" s="245"/>
      <c r="M613" s="245"/>
      <c r="N613" s="245"/>
      <c r="O613" s="246"/>
      <c r="P613" s="246"/>
      <c r="Q613" s="245"/>
      <c r="R613" s="246"/>
      <c r="S613" s="246"/>
      <c r="T613" s="246"/>
      <c r="U613" s="246"/>
      <c r="V613" s="247"/>
    </row>
    <row r="614" spans="1:22">
      <c r="A614" s="242"/>
      <c r="B614" s="248"/>
      <c r="C614" s="249"/>
      <c r="D614" s="250"/>
      <c r="E614" s="250"/>
      <c r="F614" s="250"/>
      <c r="G614" s="250"/>
      <c r="H614" s="250"/>
      <c r="I614" s="250"/>
      <c r="J614" s="253"/>
      <c r="K614" s="253"/>
      <c r="L614" s="250"/>
      <c r="M614" s="250"/>
      <c r="N614" s="250"/>
      <c r="O614" s="253"/>
      <c r="P614" s="253"/>
      <c r="Q614" s="250"/>
      <c r="R614" s="253"/>
      <c r="S614" s="253"/>
      <c r="T614" s="253"/>
      <c r="U614" s="253"/>
      <c r="V614" s="247"/>
    </row>
    <row r="615" spans="1:22">
      <c r="A615" s="242"/>
      <c r="B615" s="219"/>
      <c r="C615" s="239"/>
      <c r="D615" s="240"/>
      <c r="E615" s="240"/>
      <c r="F615" s="240"/>
      <c r="G615" s="240"/>
      <c r="H615" s="240"/>
      <c r="I615" s="240"/>
      <c r="J615" s="241"/>
      <c r="K615" s="241"/>
      <c r="L615" s="240"/>
      <c r="M615" s="240"/>
      <c r="N615" s="240"/>
      <c r="O615" s="241"/>
      <c r="P615" s="241"/>
      <c r="Q615" s="240"/>
      <c r="R615" s="241"/>
      <c r="S615" s="241"/>
      <c r="T615" s="241"/>
      <c r="U615" s="241"/>
      <c r="V615" s="247"/>
    </row>
    <row r="616" spans="1:22">
      <c r="A616" s="242"/>
      <c r="B616" s="243"/>
      <c r="C616" s="244"/>
      <c r="D616" s="245"/>
      <c r="E616" s="245"/>
      <c r="F616" s="245"/>
      <c r="G616" s="245"/>
      <c r="H616" s="245"/>
      <c r="I616" s="245"/>
      <c r="J616" s="246"/>
      <c r="K616" s="246"/>
      <c r="L616" s="245"/>
      <c r="M616" s="245"/>
      <c r="N616" s="245"/>
      <c r="O616" s="246"/>
      <c r="P616" s="246"/>
      <c r="Q616" s="245"/>
      <c r="R616" s="246"/>
      <c r="S616" s="246"/>
      <c r="T616" s="246"/>
      <c r="U616" s="246"/>
      <c r="V616" s="247"/>
    </row>
    <row r="617" spans="1:22">
      <c r="A617" s="271"/>
      <c r="B617" s="248"/>
      <c r="C617" s="249"/>
      <c r="D617" s="250"/>
      <c r="E617" s="250"/>
      <c r="F617" s="250"/>
      <c r="G617" s="250"/>
      <c r="H617" s="250"/>
      <c r="I617" s="250"/>
      <c r="J617" s="253"/>
      <c r="K617" s="253"/>
      <c r="L617" s="250"/>
      <c r="M617" s="250"/>
      <c r="N617" s="250"/>
      <c r="O617" s="253"/>
      <c r="P617" s="253"/>
      <c r="Q617" s="250"/>
      <c r="R617" s="253"/>
      <c r="S617" s="253"/>
      <c r="T617" s="253"/>
      <c r="U617" s="253"/>
      <c r="V617" s="2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3213-1D4C-4F0B-B105-DC4FC802B970}">
  <sheetPr>
    <tabColor theme="4" tint="0.39997558519241921"/>
  </sheetPr>
  <dimension ref="A1:AG83"/>
  <sheetViews>
    <sheetView workbookViewId="0">
      <selection activeCell="G10" sqref="G10"/>
    </sheetView>
  </sheetViews>
  <sheetFormatPr defaultRowHeight="15"/>
  <cols>
    <col min="1" max="1" width="11.77734375" style="320" customWidth="1"/>
    <col min="2" max="9" width="10" bestFit="1" customWidth="1"/>
    <col min="10" max="15" width="9.21875" customWidth="1"/>
    <col min="16" max="17" width="11" bestFit="1" customWidth="1"/>
    <col min="18" max="33" width="9.21875" customWidth="1"/>
  </cols>
  <sheetData>
    <row r="1" spans="1:33">
      <c r="A1" s="319" t="s">
        <v>880</v>
      </c>
    </row>
    <row r="2" spans="1:33">
      <c r="B2" s="321" t="s">
        <v>881</v>
      </c>
      <c r="C2" s="322"/>
      <c r="D2" s="322"/>
      <c r="E2" s="322"/>
      <c r="F2" s="322"/>
      <c r="G2" s="322"/>
      <c r="H2" s="322"/>
      <c r="I2" s="322"/>
      <c r="J2" s="322"/>
      <c r="K2" s="322"/>
      <c r="L2" s="322"/>
      <c r="M2" s="322"/>
      <c r="N2" s="322"/>
      <c r="O2" s="322"/>
      <c r="P2" s="322"/>
      <c r="Q2" s="322"/>
      <c r="R2" s="323" t="s">
        <v>882</v>
      </c>
      <c r="S2" s="324"/>
      <c r="T2" s="324"/>
      <c r="U2" s="324"/>
      <c r="V2" s="324"/>
      <c r="W2" s="324"/>
      <c r="X2" s="324"/>
      <c r="Y2" s="324"/>
      <c r="Z2" s="324"/>
      <c r="AA2" s="324"/>
      <c r="AB2" s="325" t="s">
        <v>883</v>
      </c>
      <c r="AC2" s="326"/>
      <c r="AD2" s="326"/>
      <c r="AE2" s="326"/>
      <c r="AF2" s="326"/>
      <c r="AG2" s="326"/>
    </row>
    <row r="3" spans="1:33">
      <c r="B3" s="327">
        <v>1</v>
      </c>
      <c r="C3" s="328"/>
      <c r="D3" s="327">
        <v>2</v>
      </c>
      <c r="E3" s="328"/>
      <c r="F3" s="327">
        <v>3</v>
      </c>
      <c r="G3" s="328"/>
      <c r="H3" s="327">
        <v>4</v>
      </c>
      <c r="I3" s="328"/>
      <c r="J3" s="327">
        <v>5</v>
      </c>
      <c r="K3" s="328"/>
      <c r="L3" s="327">
        <v>6</v>
      </c>
      <c r="M3" s="328"/>
      <c r="N3" s="327">
        <v>15</v>
      </c>
      <c r="O3" s="328"/>
      <c r="P3" s="327" t="s">
        <v>884</v>
      </c>
      <c r="Q3" s="329"/>
      <c r="R3" s="330">
        <v>7</v>
      </c>
      <c r="S3" s="331"/>
      <c r="T3" s="330">
        <v>8</v>
      </c>
      <c r="U3" s="331"/>
      <c r="V3" s="330">
        <v>9</v>
      </c>
      <c r="W3" s="331"/>
      <c r="X3" s="330">
        <v>10</v>
      </c>
      <c r="Y3" s="331"/>
      <c r="Z3" s="330" t="s">
        <v>884</v>
      </c>
      <c r="AA3" s="331"/>
      <c r="AB3" s="332">
        <v>12</v>
      </c>
      <c r="AC3" s="333"/>
      <c r="AD3" s="332">
        <v>13</v>
      </c>
      <c r="AE3" s="333"/>
      <c r="AF3" s="332" t="s">
        <v>884</v>
      </c>
      <c r="AG3" s="333"/>
    </row>
    <row r="4" spans="1:33" s="340" customFormat="1">
      <c r="A4" s="334"/>
      <c r="B4" s="335">
        <v>2014</v>
      </c>
      <c r="C4" s="336">
        <v>2015</v>
      </c>
      <c r="D4" s="335">
        <v>2014</v>
      </c>
      <c r="E4" s="336">
        <v>2015</v>
      </c>
      <c r="F4" s="335">
        <v>2014</v>
      </c>
      <c r="G4" s="336">
        <v>2015</v>
      </c>
      <c r="H4" s="335">
        <v>2014</v>
      </c>
      <c r="I4" s="336">
        <v>2015</v>
      </c>
      <c r="J4" s="335">
        <v>2014</v>
      </c>
      <c r="K4" s="336">
        <v>2015</v>
      </c>
      <c r="L4" s="335">
        <v>2014</v>
      </c>
      <c r="M4" s="336">
        <v>2015</v>
      </c>
      <c r="N4" s="335">
        <v>2014</v>
      </c>
      <c r="O4" s="336">
        <v>2015</v>
      </c>
      <c r="P4" s="335">
        <v>2014</v>
      </c>
      <c r="Q4" s="336">
        <v>2015</v>
      </c>
      <c r="R4" s="337">
        <v>2014</v>
      </c>
      <c r="S4" s="338">
        <v>2015</v>
      </c>
      <c r="T4" s="337">
        <v>2014</v>
      </c>
      <c r="U4" s="338">
        <v>2015</v>
      </c>
      <c r="V4" s="337">
        <v>2014</v>
      </c>
      <c r="W4" s="338">
        <v>2015</v>
      </c>
      <c r="X4" s="337">
        <v>2014</v>
      </c>
      <c r="Y4" s="338">
        <v>2015</v>
      </c>
      <c r="Z4" s="337">
        <v>2014</v>
      </c>
      <c r="AA4" s="338">
        <v>2015</v>
      </c>
      <c r="AB4" s="337">
        <v>2014</v>
      </c>
      <c r="AC4" s="339">
        <v>2015</v>
      </c>
      <c r="AD4" s="337">
        <v>2014</v>
      </c>
      <c r="AE4" s="339">
        <v>2015</v>
      </c>
      <c r="AF4" s="337">
        <v>2014</v>
      </c>
      <c r="AG4" s="339">
        <v>2015</v>
      </c>
    </row>
    <row r="5" spans="1:33">
      <c r="A5" s="320" t="s">
        <v>885</v>
      </c>
      <c r="B5" s="307">
        <f>GETPIVOTDATA("Sum of OLD-Tot UG SCH Calc",'Pivot Table for Fact Book'!$A$3,"State","AL","type",1,"Type2","Four-Year")</f>
        <v>1561509</v>
      </c>
      <c r="C5" s="308">
        <f>GETPIVOTDATA("Sum of NEW-Tot UG SCH Calc",'Pivot Table for Fact Book'!$A$3,"State","AL","type",1,"Type2","Four-Year")</f>
        <v>1623533</v>
      </c>
      <c r="D5" s="307">
        <f>GETPIVOTDATA("Sum of OLD-Tot UG SCH Calc",'Pivot Table for Fact Book'!$A$3,"State","AL","type",2,"Type2","Four-Year")</f>
        <v>439857.5</v>
      </c>
      <c r="E5" s="308">
        <f>GETPIVOTDATA("Sum of NEW-Tot UG SCH Calc",'Pivot Table for Fact Book'!$A$3,"State","AL","type",2,"Type2","Four-Year")</f>
        <v>479401</v>
      </c>
      <c r="F5" s="307">
        <f>GETPIVOTDATA("Sum of OLD-Tot UG SCH Calc",'Pivot Table for Fact Book'!$A$3,"State","AL","type",3,"Type2","Four-Year")</f>
        <v>1036095</v>
      </c>
      <c r="G5" s="308">
        <f>GETPIVOTDATA("Sum of NEW-Tot UG SCH Calc",'Pivot Table for Fact Book'!$A$3,"State","AL","type",3,"Type2","Four-Year")</f>
        <v>1044941</v>
      </c>
      <c r="H5" s="307">
        <f>GETPIVOTDATA("Sum of OLD-Tot UG SCH Calc",'Pivot Table for Fact Book'!$A$3,"State","AL","type",4,"Type2","Four-Year")</f>
        <v>252011</v>
      </c>
      <c r="I5" s="308">
        <f>GETPIVOTDATA("Sum of NEW-Tot UG SCH Calc",'Pivot Table for Fact Book'!$A$3,"State","AL","type",4,"Type2","Four-Year")</f>
        <v>245438</v>
      </c>
      <c r="J5" s="307">
        <f>GETPIVOTDATA("Sum of OLD-Tot UG SCH Calc",'Pivot Table for Fact Book'!$A$3,"State","AL","type",5,"Type2","Four-Year")</f>
        <v>122849</v>
      </c>
      <c r="K5" s="308">
        <f>GETPIVOTDATA("Sum of NEW-Tot UG SCH Calc",'Pivot Table for Fact Book'!$A$3,"State","AL","type",5,"Type2","Four-Year")</f>
        <v>122561</v>
      </c>
      <c r="L5" s="307">
        <f>GETPIVOTDATA("Sum of OLD-Tot UG SCH Calc",'Pivot Table for Fact Book'!$A$3,"State","AL","type",6,"Type2","Four-Year")</f>
        <v>69518</v>
      </c>
      <c r="M5" s="308">
        <f>GETPIVOTDATA("Sum of NEW-Tot UG SCH Calc",'Pivot Table for Fact Book'!$A$3,"State","AL","type",6,"Type2","Four-Year")</f>
        <v>67015</v>
      </c>
      <c r="N5" s="307">
        <f>GETPIVOTDATA("Sum of OLD-Tot UG SCH Calc",'Pivot Table for Fact Book'!$A$3,"State","AL","type",15,"Type2","Four-Year")</f>
        <v>13766</v>
      </c>
      <c r="O5" s="308">
        <f>GETPIVOTDATA("Sum of NEW-Tot UG SCH Calc",'Pivot Table for Fact Book'!$A$3,"State","AL","type",15,"Type2","Four-Year")</f>
        <v>13899</v>
      </c>
      <c r="P5" s="309">
        <f>GETPIVOTDATA("Sum of OLD-Tot UG SCH Calc",'Pivot Table for Fact Book'!$A$3,"State","AL","Type2","Four-Year")</f>
        <v>3495605.5</v>
      </c>
      <c r="Q5" s="309">
        <f>GETPIVOTDATA("Sum of NEW-Tot UG SCH Calc",'Pivot Table for Fact Book'!$A$3,"State","AL","Type2","Four-Year")</f>
        <v>3596788</v>
      </c>
      <c r="R5" s="307">
        <f>GETPIVOTDATA("Sum of OLD-Tot UG SCH Calc",'Pivot Table for Fact Book'!$A$3,"State","AL","type",7,"Type2","Two-Year")</f>
        <v>0</v>
      </c>
      <c r="S5" s="308">
        <f>GETPIVOTDATA("Sum of NEW-Tot UG SCH Calc",'Pivot Table for Fact Book'!$A$3,"State","AL","type",7,"Type2","Two-Year")</f>
        <v>0</v>
      </c>
      <c r="T5" s="308">
        <f>GETPIVOTDATA("Sum of OLD-Tot UG SCH Calc",'Pivot Table for Fact Book'!$A$3,"State","AL","type",8,"Type2","Two-Year")</f>
        <v>375808</v>
      </c>
      <c r="U5" s="308">
        <f>GETPIVOTDATA("Sum of NEW-Tot UG SCH Calc",'Pivot Table for Fact Book'!$A$3,"State","AL","type",8,"Type2","Two-Year")</f>
        <v>367422</v>
      </c>
      <c r="V5" s="308">
        <f>GETPIVOTDATA("Sum of OLD-Tot UG SCH Calc",'Pivot Table for Fact Book'!$A$3,"State","AL","type",9,"Type2","Two-Year")</f>
        <v>990264</v>
      </c>
      <c r="W5" s="308">
        <f>GETPIVOTDATA("Sum of NEW-Tot UG SCH Calc",'Pivot Table for Fact Book'!$A$3,"State","AL","type",9,"Type2","Two-Year")</f>
        <v>921499</v>
      </c>
      <c r="X5" s="308">
        <f>GETPIVOTDATA("Sum of OLD-Tot UG SCH Calc",'Pivot Table for Fact Book'!$A$3,"State","AL","type",10,"Type2","Two-Year")</f>
        <v>385345</v>
      </c>
      <c r="Y5" s="308">
        <f>GETPIVOTDATA("Sum of NEW-Tot UG SCH Calc",'Pivot Table for Fact Book'!$A$3,"State","AL","type",10,"Type2","Two-Year")</f>
        <v>342222</v>
      </c>
      <c r="Z5" s="310">
        <f>GETPIVOTDATA("Sum of OLD-Tot UG SCH Calc",'Pivot Table for Fact Book'!$A$3,"State","AL","Type2","Two-Year")</f>
        <v>1751417</v>
      </c>
      <c r="AA5" s="310">
        <f>GETPIVOTDATA("Sum of NEW-Tot UG SCH Calc",'Pivot Table for Fact Book'!$A$3,"State","AL","Type2","Two-Year")</f>
        <v>1631143</v>
      </c>
      <c r="AB5" s="307">
        <f>+GETPIVOTDATA("Sum of OLD-Tot UG SCH Calc",'Pivot Table for Fact Book'!$A$3,"State","AL","type",12,"type2","Techncial")</f>
        <v>38556</v>
      </c>
      <c r="AC5" s="308">
        <f>+GETPIVOTDATA("Sum of NEW-Tot UG SCH Calc",'Pivot Table for Fact Book'!$A$3,"State","AL","type",12,"type2","Techncial")</f>
        <v>40249</v>
      </c>
      <c r="AD5" s="307">
        <f>+GETPIVOTDATA("Sum of OLD-Tot UG SCH Calc",'Pivot Table for Fact Book'!$A$3,"State","AL","type",13,"type2","Techncial")</f>
        <v>50373</v>
      </c>
      <c r="AE5" s="308">
        <f>+GETPIVOTDATA("Sum of NEW-Tot UG SCH Calc",'Pivot Table for Fact Book'!$A$3,"State","AL","type",13,"type2","Techncial")</f>
        <v>44558</v>
      </c>
      <c r="AF5" s="311">
        <f>+GETPIVOTDATA("Sum of OLD-Tot UG SCH Calc",'Pivot Table for Fact Book'!$A$3,"State","AL","type2","Techncial")</f>
        <v>88929</v>
      </c>
      <c r="AG5" s="312">
        <f>+GETPIVOTDATA("Sum of NEW-Tot UG SCH Calc",'Pivot Table for Fact Book'!$A$3,"State","AL","type2","Techncial")</f>
        <v>84807</v>
      </c>
    </row>
    <row r="6" spans="1:33">
      <c r="A6" s="320" t="s">
        <v>886</v>
      </c>
      <c r="B6" s="307">
        <f>GETPIVOTDATA("Sum of OLD-Tot UG SCH Calc",'Pivot Table for Fact Book'!$A$3,"State","AR","type",1,"Type2","Four-Year")</f>
        <v>638732</v>
      </c>
      <c r="C6" s="308">
        <f>GETPIVOTDATA("Sum of NEW-Tot UG SCH Calc",'Pivot Table for Fact Book'!$A$3,"State","AR","type",1,"Type2","Four-Year")</f>
        <v>648938</v>
      </c>
      <c r="D6" s="307">
        <f>GETPIVOTDATA("Sum of OLD-Tot UG SCH Calc",'Pivot Table for Fact Book'!$A$3,"State","AR","type",2,"Type2","Four-Year")</f>
        <v>206489</v>
      </c>
      <c r="E6" s="308">
        <f>GETPIVOTDATA("Sum of NEW-Tot UG SCH Calc",'Pivot Table for Fact Book'!$A$3,"State","AR","type",2,"Type2","Four-Year")</f>
        <v>205875</v>
      </c>
      <c r="F6" s="307">
        <f>GETPIVOTDATA("Sum of OLD-Tot UG SCH Calc",'Pivot Table for Fact Book'!$A$3,"State","AR","type",3,"Type2","Four-Year")</f>
        <v>762666</v>
      </c>
      <c r="G6" s="308">
        <f>GETPIVOTDATA("Sum of NEW-Tot UG SCH Calc",'Pivot Table for Fact Book'!$A$3,"State","AR","type",3,"Type2","Four-Year")</f>
        <v>759904</v>
      </c>
      <c r="H6" s="307">
        <f>GETPIVOTDATA("Sum of OLD-Tot UG SCH Calc",'Pivot Table for Fact Book'!$A$3,"State","AR","type",4,"Type2","Four-Year")</f>
        <v>142441</v>
      </c>
      <c r="I6" s="308">
        <f>GETPIVOTDATA("Sum of NEW-Tot UG SCH Calc",'Pivot Table for Fact Book'!$A$3,"State","AR","type",4,"Type2","Four-Year")</f>
        <v>178641</v>
      </c>
      <c r="J6" s="307">
        <f>GETPIVOTDATA("Sum of OLD-Tot UG SCH Calc",'Pivot Table for Fact Book'!$A$3,"State","AR","type",5,"Type2","Four-Year")</f>
        <v>67489</v>
      </c>
      <c r="K6" s="308">
        <f>GETPIVOTDATA("Sum of NEW-Tot UG SCH Calc",'Pivot Table for Fact Book'!$A$3,"State","AR","type",5,"Type2","Four-Year")</f>
        <v>74004</v>
      </c>
      <c r="L6" s="307">
        <f>GETPIVOTDATA("Sum of OLD-Tot UG SCH Calc",'Pivot Table for Fact Book'!$A$3,"State","AR","type",6,"Type2","Four-Year")</f>
        <v>231954</v>
      </c>
      <c r="M6" s="308">
        <f>GETPIVOTDATA("Sum of NEW-Tot UG SCH Calc",'Pivot Table for Fact Book'!$A$3,"State","AR","type",6,"Type2","Four-Year")</f>
        <v>231885</v>
      </c>
      <c r="N6" s="307">
        <f>GETPIVOTDATA("Sum of OLD-Tot UG SCH Calc",'Pivot Table for Fact Book'!$A$3,"State","AR","type",15,"Type2","Four-Year")</f>
        <v>18675</v>
      </c>
      <c r="O6" s="308">
        <f>GETPIVOTDATA("Sum of NEW-Tot UG SCH Calc",'Pivot Table for Fact Book'!$A$3,"State","AR","type",15,"Type2","Four-Year")</f>
        <v>18081</v>
      </c>
      <c r="P6" s="309">
        <f>GETPIVOTDATA("Sum of OLD-Tot UG SCH Calc",'Pivot Table for Fact Book'!$A$3,"State","AR","Type2","Four-Year")</f>
        <v>2068446</v>
      </c>
      <c r="Q6" s="309">
        <f>GETPIVOTDATA("Sum of NEW-Tot UG SCH Calc",'Pivot Table for Fact Book'!$A$3,"State","AR","Type2","Four-Year")</f>
        <v>2117328</v>
      </c>
      <c r="R6" s="307">
        <f>GETPIVOTDATA("Sum of OLD-Tot UG SCH Calc",'Pivot Table for Fact Book'!$A$3,"State","AR","type",7,"Type2","Two-Year")</f>
        <v>0</v>
      </c>
      <c r="S6" s="308">
        <f>GETPIVOTDATA("Sum of NEW-Tot UG SCH Calc",'Pivot Table for Fact Book'!$A$3,"State","AR","type",7,"Type2","Two-Year")</f>
        <v>0</v>
      </c>
      <c r="T6" s="308">
        <f>GETPIVOTDATA("Sum of OLD-Tot UG SCH Calc",'Pivot Table for Fact Book'!$A$3,"State","AR","type",8,"Type2","Two-Year")</f>
        <v>291294</v>
      </c>
      <c r="U6" s="308">
        <f>GETPIVOTDATA("Sum of NEW-Tot UG SCH Calc",'Pivot Table for Fact Book'!$A$3,"State","AR","type",8,"Type2","Two-Year")</f>
        <v>274440</v>
      </c>
      <c r="V6" s="308">
        <f>GETPIVOTDATA("Sum of OLD-Tot UG SCH Calc",'Pivot Table for Fact Book'!$A$3,"State","AR","type",9,"Type2","Two-Year")</f>
        <v>86601</v>
      </c>
      <c r="W6" s="308">
        <f>GETPIVOTDATA("Sum of NEW-Tot UG SCH Calc",'Pivot Table for Fact Book'!$A$3,"State","AR","type",9,"Type2","Two-Year")</f>
        <v>82537</v>
      </c>
      <c r="X6" s="308">
        <f>GETPIVOTDATA("Sum of OLD-Tot UG SCH Calc",'Pivot Table for Fact Book'!$A$3,"State","AR","type",10,"Type2","Two-Year")</f>
        <v>615760</v>
      </c>
      <c r="Y6" s="308">
        <f>GETPIVOTDATA("Sum of NEW-Tot UG SCH Calc",'Pivot Table for Fact Book'!$A$3,"State","AR","type",10,"Type2","Two-Year")</f>
        <v>594102</v>
      </c>
      <c r="Z6" s="310">
        <f>GETPIVOTDATA("Sum of OLD-Tot UG SCH Calc",'Pivot Table for Fact Book'!$A$3,"State","AR","Type2","Two-Year")</f>
        <v>993655</v>
      </c>
      <c r="AA6" s="310">
        <f>GETPIVOTDATA("Sum of NEW-Tot UG SCH Calc",'Pivot Table for Fact Book'!$A$3,"State","AR","Type2","Two-Year")</f>
        <v>951079</v>
      </c>
      <c r="AB6" s="307">
        <f>+GETPIVOTDATA("Sum of OLD-Tot UG SCH Calc",'Pivot Table for Fact Book'!$A$3,"State","AR","type",12,"type2","Techncial")</f>
        <v>0</v>
      </c>
      <c r="AC6" s="308">
        <f>+GETPIVOTDATA("Sum of NEW-Tot UG SCH Calc",'Pivot Table for Fact Book'!$A$3,"State","AR","type",12,"type2","Techncial")</f>
        <v>0</v>
      </c>
      <c r="AD6" s="307">
        <f>+GETPIVOTDATA("Sum of OLD-Tot UG SCH Calc",'Pivot Table for Fact Book'!$A$3,"State","AR","type",13,"type2","Techncial")</f>
        <v>0</v>
      </c>
      <c r="AE6" s="308">
        <f>+GETPIVOTDATA("Sum of NEW-Tot UG SCH Calc",'Pivot Table for Fact Book'!$A$3,"State","AR","type",13,"type2","Techncial")</f>
        <v>0</v>
      </c>
      <c r="AF6" s="311">
        <f>+GETPIVOTDATA("Sum of OLD-Tot UG SCH Calc",'Pivot Table for Fact Book'!$A$3,"State","AR","type2","Techncial")</f>
        <v>0</v>
      </c>
      <c r="AG6" s="312">
        <f>+GETPIVOTDATA("Sum of NEW-Tot UG SCH Calc",'Pivot Table for Fact Book'!$A$3,"State","AR","type2","Techncial")</f>
        <v>0</v>
      </c>
    </row>
    <row r="7" spans="1:33">
      <c r="A7" s="320" t="s">
        <v>887</v>
      </c>
      <c r="B7" s="307">
        <f>GETPIVOTDATA("Sum of OLD-Tot UG SCH Calc",'Pivot Table for Fact Book'!$A$3,"State","DE","type",1,"Type2","Four-Year")</f>
        <v>577848</v>
      </c>
      <c r="C7" s="308">
        <f>GETPIVOTDATA("Sum of NEW-Tot UG SCH Calc",'Pivot Table for Fact Book'!$A$3,"State","DE","type",1,"Type2","Four-Year")</f>
        <v>583850</v>
      </c>
      <c r="D7" s="307">
        <f>GETPIVOTDATA("Sum of OLD-Tot UG SCH Calc",'Pivot Table for Fact Book'!$A$3,"State","DE","type",2,"Type2","Four-Year")</f>
        <v>0</v>
      </c>
      <c r="E7" s="308">
        <f>GETPIVOTDATA("Sum of NEW-Tot UG SCH Calc",'Pivot Table for Fact Book'!$A$3,"State","DE","type",2,"Type2","Four-Year")</f>
        <v>0</v>
      </c>
      <c r="F7" s="307">
        <f>GETPIVOTDATA("Sum of OLD-Tot UG SCH Calc",'Pivot Table for Fact Book'!$A$3,"State","DE","type",3,"Type2","Four-Year")</f>
        <v>127789</v>
      </c>
      <c r="G7" s="308">
        <f>GETPIVOTDATA("Sum of NEW-Tot UG SCH Calc",'Pivot Table for Fact Book'!$A$3,"State","DE","type",3,"Type2","Four-Year")</f>
        <v>122955</v>
      </c>
      <c r="H7" s="307">
        <f>GETPIVOTDATA("Sum of OLD-Tot UG SCH Calc",'Pivot Table for Fact Book'!$A$3,"State","DE","type",4,"Type2","Four-Year")</f>
        <v>0</v>
      </c>
      <c r="I7" s="308">
        <f>GETPIVOTDATA("Sum of NEW-Tot UG SCH Calc",'Pivot Table for Fact Book'!$A$3,"State","DE","type",4,"Type2","Four-Year")</f>
        <v>0</v>
      </c>
      <c r="J7" s="307">
        <f>GETPIVOTDATA("Sum of OLD-Tot UG SCH Calc",'Pivot Table for Fact Book'!$A$3,"State","DE","type",5,"Type2","Four-Year")</f>
        <v>0</v>
      </c>
      <c r="K7" s="308">
        <f>GETPIVOTDATA("Sum of NEW-Tot UG SCH Calc",'Pivot Table for Fact Book'!$A$3,"State","DE","type",5,"Type2","Four-Year")</f>
        <v>0</v>
      </c>
      <c r="L7" s="307">
        <f>GETPIVOTDATA("Sum of OLD-Tot UG SCH Calc",'Pivot Table for Fact Book'!$A$3,"State","DE","type",6,"Type2","Four-Year")</f>
        <v>0</v>
      </c>
      <c r="M7" s="308">
        <f>GETPIVOTDATA("Sum of NEW-Tot UG SCH Calc",'Pivot Table for Fact Book'!$A$3,"State","DE","type",6,"Type2","Four-Year")</f>
        <v>0</v>
      </c>
      <c r="N7" s="307">
        <f>GETPIVOTDATA("Sum of OLD-Tot UG SCH Calc",'Pivot Table for Fact Book'!$A$3,"State","DE","type",15,"Type2","Four-Year")</f>
        <v>0</v>
      </c>
      <c r="O7" s="308">
        <f>GETPIVOTDATA("Sum of NEW-Tot UG SCH Calc",'Pivot Table for Fact Book'!$A$3,"State","DE","type",15,"Type2","Four-Year")</f>
        <v>0</v>
      </c>
      <c r="P7" s="309">
        <f>GETPIVOTDATA("Sum of OLD-Tot UG SCH Calc",'Pivot Table for Fact Book'!$A$3,"State","DE","Type2","Four-Year")</f>
        <v>705637</v>
      </c>
      <c r="Q7" s="309">
        <f>GETPIVOTDATA("Sum of NEW-Tot UG SCH Calc",'Pivot Table for Fact Book'!$A$3,"State","DE","Type2","Four-Year")</f>
        <v>706805</v>
      </c>
      <c r="R7" s="307">
        <f>GETPIVOTDATA("Sum of OLD-Tot UG SCH Calc",'Pivot Table for Fact Book'!$A$3,"State","DE","type",7,"Type2","Two-Year")</f>
        <v>0</v>
      </c>
      <c r="S7" s="308">
        <f>GETPIVOTDATA("Sum of NEW-Tot UG SCH Calc",'Pivot Table for Fact Book'!$A$3,"State","DE","type",7,"Type2","Two-Year")</f>
        <v>0</v>
      </c>
      <c r="T7" s="308">
        <f>GETPIVOTDATA("Sum of OLD-Tot UG SCH Calc",'Pivot Table for Fact Book'!$A$3,"State","DE","type",8,"Type2","Two-Year")</f>
        <v>0</v>
      </c>
      <c r="U7" s="308">
        <f>GETPIVOTDATA("Sum of NEW-Tot UG SCH Calc",'Pivot Table for Fact Book'!$A$3,"State","DE","type",8,"Type2","Two-Year")</f>
        <v>0</v>
      </c>
      <c r="V7" s="308">
        <f>GETPIVOTDATA("Sum of OLD-Tot UG SCH Calc",'Pivot Table for Fact Book'!$A$3,"State","DE","type",9,"Type2","Two-Year")</f>
        <v>276057</v>
      </c>
      <c r="W7" s="308">
        <f>GETPIVOTDATA("Sum of NEW-Tot UG SCH Calc",'Pivot Table for Fact Book'!$A$3,"State","DE","type",9,"Type2","Two-Year")</f>
        <v>268781</v>
      </c>
      <c r="X7" s="308">
        <f>GETPIVOTDATA("Sum of OLD-Tot UG SCH Calc",'Pivot Table for Fact Book'!$A$3,"State","DE","type",10,"Type2","Two-Year")</f>
        <v>0</v>
      </c>
      <c r="Y7" s="308">
        <f>GETPIVOTDATA("Sum of NEW-Tot UG SCH Calc",'Pivot Table for Fact Book'!$A$3,"State","DE","type",10,"Type2","Two-Year")</f>
        <v>0</v>
      </c>
      <c r="Z7" s="310">
        <f>GETPIVOTDATA("Sum of OLD-Tot UG SCH Calc",'Pivot Table for Fact Book'!$A$3,"State","DE","Type2","Two-Year")</f>
        <v>276057</v>
      </c>
      <c r="AA7" s="310">
        <f>GETPIVOTDATA("Sum of NEW-Tot UG SCH Calc",'Pivot Table for Fact Book'!$A$3,"State","DE","Type2","Two-Year")</f>
        <v>268781</v>
      </c>
      <c r="AB7" s="307">
        <f>+GETPIVOTDATA("Sum of OLD-Tot UG SCH Calc",'Pivot Table for Fact Book'!$A$3,"State","DE","type",12,"type2","Techncial")</f>
        <v>0</v>
      </c>
      <c r="AC7" s="308">
        <f>+GETPIVOTDATA("Sum of NEW-Tot UG SCH Calc",'Pivot Table for Fact Book'!$A$3,"State","DE","type",12,"type2","Techncial")</f>
        <v>0</v>
      </c>
      <c r="AD7" s="307">
        <f>+GETPIVOTDATA("Sum of OLD-Tot UG SCH Calc",'Pivot Table for Fact Book'!$A$3,"State","DE","type",13,"type2","Techncial")</f>
        <v>0</v>
      </c>
      <c r="AE7" s="308">
        <f>+GETPIVOTDATA("Sum of NEW-Tot UG SCH Calc",'Pivot Table for Fact Book'!$A$3,"State","DE","type",13,"type2","Techncial")</f>
        <v>0</v>
      </c>
      <c r="AF7" s="311">
        <f>+GETPIVOTDATA("Sum of OLD-Tot UG SCH Calc",'Pivot Table for Fact Book'!$A$3,"State","DE","type2","Techncial")</f>
        <v>0</v>
      </c>
      <c r="AG7" s="312">
        <f>+GETPIVOTDATA("Sum of NEW-Tot UG SCH Calc",'Pivot Table for Fact Book'!$A$3,"State","DE","type2","Techncial")</f>
        <v>0</v>
      </c>
    </row>
    <row r="8" spans="1:33">
      <c r="A8" s="320" t="s">
        <v>888</v>
      </c>
      <c r="B8" s="307">
        <f>GETPIVOTDATA("Sum of OLD-Tot UG SCH Calc",'Pivot Table for Fact Book'!$A$3,"State","FL","type",1,"Type2","Four-Year")</f>
        <v>0</v>
      </c>
      <c r="C8" s="308">
        <f>GETPIVOTDATA("Sum of NEW-Tot UG SCH Calc",'Pivot Table for Fact Book'!$A$3,"State","FL","type",1,"Type2","Four-Year")</f>
        <v>0</v>
      </c>
      <c r="D8" s="307">
        <f>GETPIVOTDATA("Sum of OLD-Tot UG SCH Calc",'Pivot Table for Fact Book'!$A$3,"State","FL","type",2,"Type2","Four-Year")</f>
        <v>0</v>
      </c>
      <c r="E8" s="308">
        <f>GETPIVOTDATA("Sum of NEW-Tot UG SCH Calc",'Pivot Table for Fact Book'!$A$3,"State","FL","type",2,"Type2","Four-Year")</f>
        <v>0</v>
      </c>
      <c r="F8" s="307">
        <f>GETPIVOTDATA("Sum of OLD-Tot UG SCH Calc",'Pivot Table for Fact Book'!$A$3,"State","FL","type",3,"Type2","Four-Year")</f>
        <v>0</v>
      </c>
      <c r="G8" s="308">
        <f>GETPIVOTDATA("Sum of NEW-Tot UG SCH Calc",'Pivot Table for Fact Book'!$A$3,"State","FL","type",3,"Type2","Four-Year")</f>
        <v>0</v>
      </c>
      <c r="H8" s="307">
        <f>GETPIVOTDATA("Sum of OLD-Tot UG SCH Calc",'Pivot Table for Fact Book'!$A$3,"State","FL","type",4,"Type2","Four-Year")</f>
        <v>0</v>
      </c>
      <c r="I8" s="308">
        <f>GETPIVOTDATA("Sum of NEW-Tot UG SCH Calc",'Pivot Table for Fact Book'!$A$3,"State","FL","type",4,"Type2","Four-Year")</f>
        <v>0</v>
      </c>
      <c r="J8" s="307">
        <f>GETPIVOTDATA("Sum of OLD-Tot UG SCH Calc",'Pivot Table for Fact Book'!$A$3,"State","FL","type",5,"Type2","Four-Year")</f>
        <v>0</v>
      </c>
      <c r="K8" s="308">
        <f>GETPIVOTDATA("Sum of NEW-Tot UG SCH Calc",'Pivot Table for Fact Book'!$A$3,"State","FL","type",5,"Type2","Four-Year")</f>
        <v>0</v>
      </c>
      <c r="L8" s="307">
        <f>GETPIVOTDATA("Sum of OLD-Tot UG SCH Calc",'Pivot Table for Fact Book'!$A$3,"State","FL","type",6,"Type2","Four-Year")</f>
        <v>0</v>
      </c>
      <c r="M8" s="308">
        <f>GETPIVOTDATA("Sum of NEW-Tot UG SCH Calc",'Pivot Table for Fact Book'!$A$3,"State","FL","type",6,"Type2","Four-Year")</f>
        <v>0</v>
      </c>
      <c r="N8" s="307">
        <f>GETPIVOTDATA("Sum of OLD-Tot UG SCH Calc",'Pivot Table for Fact Book'!$A$3,"State","FL","type",15,"Type2","Four-Year")</f>
        <v>0</v>
      </c>
      <c r="O8" s="308">
        <f>GETPIVOTDATA("Sum of NEW-Tot UG SCH Calc",'Pivot Table for Fact Book'!$A$3,"State","FL","type",15,"Type2","Four-Year")</f>
        <v>0</v>
      </c>
      <c r="P8" s="309">
        <f>GETPIVOTDATA("Sum of OLD-Tot UG SCH Calc",'Pivot Table for Fact Book'!$A$3,"State","FL","Type2","Four-Year")</f>
        <v>0</v>
      </c>
      <c r="Q8" s="309">
        <f>GETPIVOTDATA("Sum of NEW-Tot UG SCH Calc",'Pivot Table for Fact Book'!$A$3,"State","FL","Type2","Four-Year")</f>
        <v>0</v>
      </c>
      <c r="R8" s="307">
        <f>GETPIVOTDATA("Sum of OLD-Tot UG SCH Calc",'Pivot Table for Fact Book'!$A$3,"State","FL","type",7,"Type2","Two-Year")</f>
        <v>8086766</v>
      </c>
      <c r="S8" s="308">
        <f>GETPIVOTDATA("Sum of NEW-Tot UG SCH Calc",'Pivot Table for Fact Book'!$A$3,"State","FL","type",7,"Type2","Two-Year")</f>
        <v>7994419</v>
      </c>
      <c r="T8" s="308">
        <f>GETPIVOTDATA("Sum of OLD-Tot UG SCH Calc",'Pivot Table for Fact Book'!$A$3,"State","FL","type",8,"Type2","Two-Year")</f>
        <v>1044758</v>
      </c>
      <c r="U8" s="308">
        <f>GETPIVOTDATA("Sum of NEW-Tot UG SCH Calc",'Pivot Table for Fact Book'!$A$3,"State","FL","type",8,"Type2","Two-Year")</f>
        <v>1042808</v>
      </c>
      <c r="V8" s="308">
        <f>GETPIVOTDATA("Sum of OLD-Tot UG SCH Calc",'Pivot Table for Fact Book'!$A$3,"State","FL","type",9,"Type2","Two-Year")</f>
        <v>0</v>
      </c>
      <c r="W8" s="308">
        <f>GETPIVOTDATA("Sum of NEW-Tot UG SCH Calc",'Pivot Table for Fact Book'!$A$3,"State","FL","type",9,"Type2","Two-Year")</f>
        <v>0</v>
      </c>
      <c r="X8" s="308">
        <f>GETPIVOTDATA("Sum of OLD-Tot UG SCH Calc",'Pivot Table for Fact Book'!$A$3,"State","FL","type",10,"Type2","Two-Year")</f>
        <v>41666</v>
      </c>
      <c r="Y8" s="308">
        <f>GETPIVOTDATA("Sum of NEW-Tot UG SCH Calc",'Pivot Table for Fact Book'!$A$3,"State","FL","type",10,"Type2","Two-Year")</f>
        <v>42300</v>
      </c>
      <c r="Z8" s="310">
        <f>GETPIVOTDATA("Sum of OLD-Tot UG SCH Calc",'Pivot Table for Fact Book'!$A$3,"State","FL","Type2","Two-Year")</f>
        <v>9173190</v>
      </c>
      <c r="AA8" s="310">
        <f>GETPIVOTDATA("Sum of NEW-Tot UG SCH Calc",'Pivot Table for Fact Book'!$A$3,"State","FL","Type2","Two-Year")</f>
        <v>9079527</v>
      </c>
      <c r="AB8" s="307">
        <f>+GETPIVOTDATA("Sum of OLD-Tot UG SCH Calc",'Pivot Table for Fact Book'!$A$3,"State","FL","type",12,"type2","Techncial")</f>
        <v>0</v>
      </c>
      <c r="AC8" s="308">
        <f>+GETPIVOTDATA("Sum of NEW-Tot UG SCH Calc",'Pivot Table for Fact Book'!$A$3,"State","FL","type",12,"type2","Techncial")</f>
        <v>0</v>
      </c>
      <c r="AD8" s="307">
        <f>+GETPIVOTDATA("Sum of OLD-Tot UG SCH Calc",'Pivot Table for Fact Book'!$A$3,"State","FL","type",13,"type2","Techncial")</f>
        <v>0</v>
      </c>
      <c r="AE8" s="308">
        <f>+GETPIVOTDATA("Sum of NEW-Tot UG SCH Calc",'Pivot Table for Fact Book'!$A$3,"State","FL","type",13,"type2","Techncial")</f>
        <v>0</v>
      </c>
      <c r="AF8" s="311">
        <f>+GETPIVOTDATA("Sum of OLD-Tot UG SCH Calc",'Pivot Table for Fact Book'!$A$3,"State","FL","type2","Techncial")</f>
        <v>0</v>
      </c>
      <c r="AG8" s="312">
        <f>+GETPIVOTDATA("Sum of NEW-Tot UG SCH Calc",'Pivot Table for Fact Book'!$A$3,"State","FL","type2","Techncial")</f>
        <v>0</v>
      </c>
    </row>
    <row r="9" spans="1:33">
      <c r="A9" s="320" t="s">
        <v>889</v>
      </c>
      <c r="B9" s="307">
        <f>GETPIVOTDATA("Sum of OLD-Tot UG SCH Calc",'Pivot Table for Fact Book'!$A$3,"State","GA","type",1,"Type2","Four-Year")</f>
        <v>1896248.9</v>
      </c>
      <c r="C9" s="308">
        <f>GETPIVOTDATA("Sum of NEW-Tot UG SCH Calc",'Pivot Table for Fact Book'!$A$3,"State","GA","type",1,"Type2","Four-Year")</f>
        <v>1904194</v>
      </c>
      <c r="D9" s="307">
        <f>GETPIVOTDATA("Sum of OLD-Tot UG SCH Calc",'Pivot Table for Fact Book'!$A$3,"State","GA","type",2,"Type2","Four-Year")</f>
        <v>437645</v>
      </c>
      <c r="E9" s="308">
        <f>GETPIVOTDATA("Sum of NEW-Tot UG SCH Calc",'Pivot Table for Fact Book'!$A$3,"State","GA","type",2,"Type2","Four-Year")</f>
        <v>438044</v>
      </c>
      <c r="F9" s="307">
        <f>GETPIVOTDATA("Sum of OLD-Tot UG SCH Calc",'Pivot Table for Fact Book'!$A$3,"State","GA","type",3,"Type2","Four-Year")</f>
        <v>1886866</v>
      </c>
      <c r="G9" s="308">
        <f>GETPIVOTDATA("Sum of NEW-Tot UG SCH Calc",'Pivot Table for Fact Book'!$A$3,"State","GA","type",3,"Type2","Four-Year")</f>
        <v>1913039</v>
      </c>
      <c r="H9" s="307">
        <f>GETPIVOTDATA("Sum of OLD-Tot UG SCH Calc",'Pivot Table for Fact Book'!$A$3,"State","GA","type",4,"Type2","Four-Year")</f>
        <v>1449910</v>
      </c>
      <c r="I9" s="308">
        <f>GETPIVOTDATA("Sum of NEW-Tot UG SCH Calc",'Pivot Table for Fact Book'!$A$3,"State","GA","type",4,"Type2","Four-Year")</f>
        <v>1539456</v>
      </c>
      <c r="J9" s="307">
        <f>GETPIVOTDATA("Sum of OLD-Tot UG SCH Calc",'Pivot Table for Fact Book'!$A$3,"State","GA","type",5,"Type2","Four-Year")</f>
        <v>130266</v>
      </c>
      <c r="K9" s="308">
        <f>GETPIVOTDATA("Sum of NEW-Tot UG SCH Calc",'Pivot Table for Fact Book'!$A$3,"State","GA","type",5,"Type2","Four-Year")</f>
        <v>123043</v>
      </c>
      <c r="L9" s="307">
        <f>GETPIVOTDATA("Sum of OLD-Tot UG SCH Calc",'Pivot Table for Fact Book'!$A$3,"State","GA","type",6,"Type2","Four-Year")</f>
        <v>676500</v>
      </c>
      <c r="M9" s="308">
        <f>GETPIVOTDATA("Sum of NEW-Tot UG SCH Calc",'Pivot Table for Fact Book'!$A$3,"State","GA","type",6,"Type2","Four-Year")</f>
        <v>676909</v>
      </c>
      <c r="N9" s="307">
        <f>GETPIVOTDATA("Sum of OLD-Tot UG SCH Calc",'Pivot Table for Fact Book'!$A$3,"State","GA","type",15,"Type2","Four-Year")</f>
        <v>0</v>
      </c>
      <c r="O9" s="308">
        <f>GETPIVOTDATA("Sum of NEW-Tot UG SCH Calc",'Pivot Table for Fact Book'!$A$3,"State","GA","type",15,"Type2","Four-Year")</f>
        <v>0</v>
      </c>
      <c r="P9" s="309">
        <f>GETPIVOTDATA("Sum of OLD-Tot UG SCH Calc",'Pivot Table for Fact Book'!$A$3,"State","GA","Type2","Four-Year")</f>
        <v>6477435.9000000004</v>
      </c>
      <c r="Q9" s="309">
        <f>GETPIVOTDATA("Sum of NEW-Tot UG SCH Calc",'Pivot Table for Fact Book'!$A$3,"State","GA","Type2","Four-Year")</f>
        <v>6594685</v>
      </c>
      <c r="R9" s="307">
        <f>GETPIVOTDATA("Sum of OLD-Tot UG SCH Calc",'Pivot Table for Fact Book'!$A$3,"State","GA","type",7,"Type2","Two-Year")</f>
        <v>610805</v>
      </c>
      <c r="S9" s="308">
        <f>GETPIVOTDATA("Sum of NEW-Tot UG SCH Calc",'Pivot Table for Fact Book'!$A$3,"State","GA","type",7,"Type2","Two-Year")</f>
        <v>498002</v>
      </c>
      <c r="T9" s="308">
        <f>GETPIVOTDATA("Sum of OLD-Tot UG SCH Calc",'Pivot Table for Fact Book'!$A$3,"State","GA","type",8,"Type2","Two-Year")</f>
        <v>0</v>
      </c>
      <c r="U9" s="308">
        <f>GETPIVOTDATA("Sum of NEW-Tot UG SCH Calc",'Pivot Table for Fact Book'!$A$3,"State","GA","type",8,"Type2","Two-Year")</f>
        <v>0</v>
      </c>
      <c r="V9" s="308">
        <f>GETPIVOTDATA("Sum of OLD-Tot UG SCH Calc",'Pivot Table for Fact Book'!$A$3,"State","GA","type",9,"Type2","Two-Year")</f>
        <v>0</v>
      </c>
      <c r="W9" s="308">
        <f>GETPIVOTDATA("Sum of NEW-Tot UG SCH Calc",'Pivot Table for Fact Book'!$A$3,"State","GA","type",9,"Type2","Two-Year")</f>
        <v>0</v>
      </c>
      <c r="X9" s="308">
        <f>GETPIVOTDATA("Sum of OLD-Tot UG SCH Calc",'Pivot Table for Fact Book'!$A$3,"State","GA","type",10,"Type2","Two-Year")</f>
        <v>51395</v>
      </c>
      <c r="Y9" s="308">
        <f>GETPIVOTDATA("Sum of NEW-Tot UG SCH Calc",'Pivot Table for Fact Book'!$A$3,"State","GA","type",10,"Type2","Two-Year")</f>
        <v>41554</v>
      </c>
      <c r="Z9" s="310">
        <f>GETPIVOTDATA("Sum of OLD-Tot UG SCH Calc",'Pivot Table for Fact Book'!$A$3,"State","GA","Type2","Two-Year")</f>
        <v>662200</v>
      </c>
      <c r="AA9" s="310">
        <f>GETPIVOTDATA("Sum of NEW-Tot UG SCH Calc",'Pivot Table for Fact Book'!$A$3,"State","GA","Type2","Two-Year")</f>
        <v>539556</v>
      </c>
      <c r="AB9" s="307">
        <f>+GETPIVOTDATA("Sum of OLD-Tot UG SCH Calc",'Pivot Table for Fact Book'!$A$3,"State","GA","type",12,"type2","Techncial")</f>
        <v>1951485.3</v>
      </c>
      <c r="AC9" s="308">
        <f>+GETPIVOTDATA("Sum of NEW-Tot UG SCH Calc",'Pivot Table for Fact Book'!$A$3,"State","GA","type",12,"type2","Techncial")</f>
        <v>1949689.1</v>
      </c>
      <c r="AD9" s="307">
        <f>+GETPIVOTDATA("Sum of OLD-Tot UG SCH Calc",'Pivot Table for Fact Book'!$A$3,"State","GA","type",13,"type2","Techncial")</f>
        <v>0</v>
      </c>
      <c r="AE9" s="308">
        <f>+GETPIVOTDATA("Sum of NEW-Tot UG SCH Calc",'Pivot Table for Fact Book'!$A$3,"State","GA","type",13,"type2","Techncial")</f>
        <v>0</v>
      </c>
      <c r="AF9" s="311">
        <f>+GETPIVOTDATA("Sum of OLD-Tot UG SCH Calc",'Pivot Table for Fact Book'!$A$3,"State","GA","type2","Techncial")</f>
        <v>1951485.3</v>
      </c>
      <c r="AG9" s="312">
        <f>+GETPIVOTDATA("Sum of NEW-Tot UG SCH Calc",'Pivot Table for Fact Book'!$A$3,"State","GA","type2","Techncial")</f>
        <v>1949689.1</v>
      </c>
    </row>
    <row r="10" spans="1:33">
      <c r="A10" s="320" t="s">
        <v>890</v>
      </c>
      <c r="B10" s="307">
        <f>GETPIVOTDATA("Sum of OLD-Tot UG SCH Calc",'Pivot Table for Fact Book'!$A$3,"State","KY","type",1,"Type2","Four-Year")</f>
        <v>1096757</v>
      </c>
      <c r="C10" s="308">
        <f>GETPIVOTDATA("Sum of NEW-Tot UG SCH Calc",'Pivot Table for Fact Book'!$A$3,"State","KY","type",1,"Type2","Four-Year")</f>
        <v>1078259</v>
      </c>
      <c r="D10" s="307">
        <f>GETPIVOTDATA("Sum of OLD-Tot UG SCH Calc",'Pivot Table for Fact Book'!$A$3,"State","KY","type",2,"Type2","Four-Year")</f>
        <v>0</v>
      </c>
      <c r="E10" s="308">
        <f>GETPIVOTDATA("Sum of NEW-Tot UG SCH Calc",'Pivot Table for Fact Book'!$A$3,"State","KY","type",2,"Type2","Four-Year")</f>
        <v>0</v>
      </c>
      <c r="F10" s="307">
        <f>GETPIVOTDATA("Sum of OLD-Tot UG SCH Calc",'Pivot Table for Fact Book'!$A$3,"State","KY","type",3,"Type2","Four-Year")</f>
        <v>1632885</v>
      </c>
      <c r="G10" s="308">
        <f>GETPIVOTDATA("Sum of NEW-Tot UG SCH Calc",'Pivot Table for Fact Book'!$A$3,"State","KY","type",3,"Type2","Four-Year")</f>
        <v>1596370</v>
      </c>
      <c r="H10" s="307">
        <f>GETPIVOTDATA("Sum of OLD-Tot UG SCH Calc",'Pivot Table for Fact Book'!$A$3,"State","KY","type",4,"Type2","Four-Year")</f>
        <v>40746</v>
      </c>
      <c r="I10" s="308">
        <f>GETPIVOTDATA("Sum of NEW-Tot UG SCH Calc",'Pivot Table for Fact Book'!$A$3,"State","KY","type",4,"Type2","Four-Year")</f>
        <v>44162</v>
      </c>
      <c r="J10" s="307">
        <f>GETPIVOTDATA("Sum of OLD-Tot UG SCH Calc",'Pivot Table for Fact Book'!$A$3,"State","KY","type",5,"Type2","Four-Year")</f>
        <v>0</v>
      </c>
      <c r="K10" s="308">
        <f>GETPIVOTDATA("Sum of NEW-Tot UG SCH Calc",'Pivot Table for Fact Book'!$A$3,"State","KY","type",5,"Type2","Four-Year")</f>
        <v>0</v>
      </c>
      <c r="L10" s="307">
        <f>GETPIVOTDATA("Sum of OLD-Tot UG SCH Calc",'Pivot Table for Fact Book'!$A$3,"State","KY","type",6,"Type2","Four-Year")</f>
        <v>0</v>
      </c>
      <c r="M10" s="308">
        <f>GETPIVOTDATA("Sum of NEW-Tot UG SCH Calc",'Pivot Table for Fact Book'!$A$3,"State","KY","type",6,"Type2","Four-Year")</f>
        <v>0</v>
      </c>
      <c r="N10" s="307">
        <f>GETPIVOTDATA("Sum of OLD-Tot UG SCH Calc",'Pivot Table for Fact Book'!$A$3,"State","KY","type",15,"Type2","Four-Year")</f>
        <v>0</v>
      </c>
      <c r="O10" s="308">
        <f>GETPIVOTDATA("Sum of NEW-Tot UG SCH Calc",'Pivot Table for Fact Book'!$A$3,"State","KY","type",15,"Type2","Four-Year")</f>
        <v>0</v>
      </c>
      <c r="P10" s="309">
        <f>GETPIVOTDATA("Sum of OLD-Tot UG SCH Calc",'Pivot Table for Fact Book'!$A$3,"State","KY","Type2","Four-Year")</f>
        <v>2770388</v>
      </c>
      <c r="Q10" s="309">
        <f>GETPIVOTDATA("Sum of NEW-Tot UG SCH Calc",'Pivot Table for Fact Book'!$A$3,"State","KY","Type2","Four-Year")</f>
        <v>2718791</v>
      </c>
      <c r="R10" s="307">
        <f>GETPIVOTDATA("Sum of OLD-Tot UG SCH Calc",'Pivot Table for Fact Book'!$A$3,"State","KY","type",7,"Type2","Two-Year")</f>
        <v>0</v>
      </c>
      <c r="S10" s="308">
        <f>GETPIVOTDATA("Sum of NEW-Tot UG SCH Calc",'Pivot Table for Fact Book'!$A$3,"State","KY","type",7,"Type2","Two-Year")</f>
        <v>0</v>
      </c>
      <c r="T10" s="308">
        <f>GETPIVOTDATA("Sum of OLD-Tot UG SCH Calc",'Pivot Table for Fact Book'!$A$3,"State","KY","type",8,"Type2","Two-Year")</f>
        <v>389870</v>
      </c>
      <c r="U10" s="308">
        <f>GETPIVOTDATA("Sum of NEW-Tot UG SCH Calc",'Pivot Table for Fact Book'!$A$3,"State","KY","type",8,"Type2","Two-Year")</f>
        <v>384253</v>
      </c>
      <c r="V10" s="308">
        <f>GETPIVOTDATA("Sum of OLD-Tot UG SCH Calc",'Pivot Table for Fact Book'!$A$3,"State","KY","type",9,"Type2","Two-Year")</f>
        <v>595329</v>
      </c>
      <c r="W10" s="308">
        <f>GETPIVOTDATA("Sum of NEW-Tot UG SCH Calc",'Pivot Table for Fact Book'!$A$3,"State","KY","type",9,"Type2","Two-Year")</f>
        <v>577970</v>
      </c>
      <c r="X10" s="308">
        <f>GETPIVOTDATA("Sum of OLD-Tot UG SCH Calc",'Pivot Table for Fact Book'!$A$3,"State","KY","type",10,"Type2","Two-Year")</f>
        <v>245744</v>
      </c>
      <c r="Y10" s="308">
        <f>GETPIVOTDATA("Sum of NEW-Tot UG SCH Calc",'Pivot Table for Fact Book'!$A$3,"State","KY","type",10,"Type2","Two-Year")</f>
        <v>255905</v>
      </c>
      <c r="Z10" s="310">
        <f>GETPIVOTDATA("Sum of OLD-Tot UG SCH Calc",'Pivot Table for Fact Book'!$A$3,"State","KY","Type2","Two-Year")</f>
        <v>1230943</v>
      </c>
      <c r="AA10" s="310">
        <f>GETPIVOTDATA("Sum of NEW-Tot UG SCH Calc",'Pivot Table for Fact Book'!$A$3,"State","KY","Type2","Two-Year")</f>
        <v>1218128</v>
      </c>
      <c r="AB10" s="307">
        <f>+GETPIVOTDATA("Sum of OLD-Tot UG SCH Calc",'Pivot Table for Fact Book'!$A$3,"State","KY","type",12,"type2","Techncial")</f>
        <v>146166</v>
      </c>
      <c r="AC10" s="308">
        <f>+GETPIVOTDATA("Sum of NEW-Tot UG SCH Calc",'Pivot Table for Fact Book'!$A$3,"State","KY","type",12,"type2","Techncial")</f>
        <v>148193</v>
      </c>
      <c r="AD10" s="307">
        <f>+GETPIVOTDATA("Sum of OLD-Tot UG SCH Calc",'Pivot Table for Fact Book'!$A$3,"State","KY","type",13,"type2","Techncial")</f>
        <v>0</v>
      </c>
      <c r="AE10" s="308">
        <f>+GETPIVOTDATA("Sum of NEW-Tot UG SCH Calc",'Pivot Table for Fact Book'!$A$3,"State","KY","type",13,"type2","Techncial")</f>
        <v>0</v>
      </c>
      <c r="AF10" s="311">
        <f>+GETPIVOTDATA("Sum of OLD-Tot UG SCH Calc",'Pivot Table for Fact Book'!$A$3,"State","KY","type2","Techncial")</f>
        <v>146166</v>
      </c>
      <c r="AG10" s="312">
        <f>+GETPIVOTDATA("Sum of NEW-Tot UG SCH Calc",'Pivot Table for Fact Book'!$A$3,"State","KY","type2","Techncial")</f>
        <v>148193</v>
      </c>
    </row>
    <row r="11" spans="1:33">
      <c r="A11" s="320" t="s">
        <v>891</v>
      </c>
      <c r="B11" s="307">
        <f>GETPIVOTDATA("Sum of OLD-Tot UG SCH Calc",'Pivot Table for Fact Book'!$A$3,"State","LA","type",1,"Type2","Four-Year")</f>
        <v>729887.99999999953</v>
      </c>
      <c r="C11" s="308">
        <f>GETPIVOTDATA("Sum of NEW-Tot UG SCH Calc",'Pivot Table for Fact Book'!$A$3,"State","LA","type",1,"Type2","Four-Year")</f>
        <v>707259.00000000023</v>
      </c>
      <c r="D11" s="307">
        <f>GETPIVOTDATA("Sum of OLD-Tot UG SCH Calc",'Pivot Table for Fact Book'!$A$3,"State","LA","type",2,"Type2","Four-Year")</f>
        <v>851847</v>
      </c>
      <c r="E11" s="308">
        <f>GETPIVOTDATA("Sum of NEW-Tot UG SCH Calc",'Pivot Table for Fact Book'!$A$3,"State","LA","type",2,"Type2","Four-Year")</f>
        <v>846337.99999999965</v>
      </c>
      <c r="F11" s="307">
        <f>GETPIVOTDATA("Sum of OLD-Tot UG SCH Calc",'Pivot Table for Fact Book'!$A$3,"State","LA","type",3,"Type2","Four-Year")</f>
        <v>836752.9999999993</v>
      </c>
      <c r="G11" s="308">
        <f>GETPIVOTDATA("Sum of NEW-Tot UG SCH Calc",'Pivot Table for Fact Book'!$A$3,"State","LA","type",3,"Type2","Four-Year")</f>
        <v>844545.00000000047</v>
      </c>
      <c r="H11" s="307">
        <f>GETPIVOTDATA("Sum of OLD-Tot UG SCH Calc",'Pivot Table for Fact Book'!$A$3,"State","LA","type",4,"Type2","Four-Year")</f>
        <v>538174.00000000012</v>
      </c>
      <c r="I11" s="308">
        <f>GETPIVOTDATA("Sum of NEW-Tot UG SCH Calc",'Pivot Table for Fact Book'!$A$3,"State","LA","type",4,"Type2","Four-Year")</f>
        <v>553184.00000000012</v>
      </c>
      <c r="J11" s="307">
        <f>GETPIVOTDATA("Sum of OLD-Tot UG SCH Calc",'Pivot Table for Fact Book'!$A$3,"State","LA","type",5,"Type2","Four-Year")</f>
        <v>47287.999999999971</v>
      </c>
      <c r="K11" s="308">
        <f>GETPIVOTDATA("Sum of NEW-Tot UG SCH Calc",'Pivot Table for Fact Book'!$A$3,"State","LA","type",5,"Type2","Four-Year")</f>
        <v>49569.999999999964</v>
      </c>
      <c r="L11" s="307">
        <f>GETPIVOTDATA("Sum of OLD-Tot UG SCH Calc",'Pivot Table for Fact Book'!$A$3,"State","LA","type",6,"Type2","Four-Year")</f>
        <v>69103</v>
      </c>
      <c r="M11" s="308">
        <f>GETPIVOTDATA("Sum of NEW-Tot UG SCH Calc",'Pivot Table for Fact Book'!$A$3,"State","LA","type",6,"Type2","Four-Year")</f>
        <v>72677</v>
      </c>
      <c r="N11" s="307">
        <f>GETPIVOTDATA("Sum of OLD-Tot UG SCH Calc",'Pivot Table for Fact Book'!$A$3,"State","LA","type",15,"Type2","Four-Year")</f>
        <v>0</v>
      </c>
      <c r="O11" s="308">
        <f>GETPIVOTDATA("Sum of NEW-Tot UG SCH Calc",'Pivot Table for Fact Book'!$A$3,"State","LA","type",15,"Type2","Four-Year")</f>
        <v>0</v>
      </c>
      <c r="P11" s="309">
        <f>GETPIVOTDATA("Sum of OLD-Tot UG SCH Calc",'Pivot Table for Fact Book'!$A$3,"State","LA","Type2","Four-Year")</f>
        <v>3073052.9999999991</v>
      </c>
      <c r="Q11" s="309">
        <f>GETPIVOTDATA("Sum of NEW-Tot UG SCH Calc",'Pivot Table for Fact Book'!$A$3,"State","LA","Type2","Four-Year")</f>
        <v>3073573.0000000005</v>
      </c>
      <c r="R11" s="307">
        <f>GETPIVOTDATA("Sum of OLD-Tot UG SCH Calc",'Pivot Table for Fact Book'!$A$3,"State","LA","type",7,"Type2","Two-Year")</f>
        <v>0</v>
      </c>
      <c r="S11" s="308">
        <f>GETPIVOTDATA("Sum of NEW-Tot UG SCH Calc",'Pivot Table for Fact Book'!$A$3,"State","LA","type",7,"Type2","Two-Year")</f>
        <v>0</v>
      </c>
      <c r="T11" s="308">
        <f>GETPIVOTDATA("Sum of OLD-Tot UG SCH Calc",'Pivot Table for Fact Book'!$A$3,"State","LA","type",8,"Type2","Two-Year")</f>
        <v>588855.00000000058</v>
      </c>
      <c r="U11" s="308">
        <f>GETPIVOTDATA("Sum of NEW-Tot UG SCH Calc",'Pivot Table for Fact Book'!$A$3,"State","LA","type",8,"Type2","Two-Year")</f>
        <v>576043</v>
      </c>
      <c r="V11" s="308">
        <f>GETPIVOTDATA("Sum of OLD-Tot UG SCH Calc",'Pivot Table for Fact Book'!$A$3,"State","LA","type",9,"Type2","Two-Year")</f>
        <v>270265.00000000017</v>
      </c>
      <c r="W11" s="308">
        <f>GETPIVOTDATA("Sum of NEW-Tot UG SCH Calc",'Pivot Table for Fact Book'!$A$3,"State","LA","type",9,"Type2","Two-Year")</f>
        <v>276698.50000000029</v>
      </c>
      <c r="X11" s="308">
        <f>GETPIVOTDATA("Sum of OLD-Tot UG SCH Calc",'Pivot Table for Fact Book'!$A$3,"State","LA","type",10,"Type2","Two-Year")</f>
        <v>135767.50000000003</v>
      </c>
      <c r="Y11" s="308">
        <f>GETPIVOTDATA("Sum of NEW-Tot UG SCH Calc",'Pivot Table for Fact Book'!$A$3,"State","LA","type",10,"Type2","Two-Year")</f>
        <v>147766</v>
      </c>
      <c r="Z11" s="310">
        <f>GETPIVOTDATA("Sum of OLD-Tot UG SCH Calc",'Pivot Table for Fact Book'!$A$3,"State","LA","Type2","Two-Year")</f>
        <v>994887.5000000007</v>
      </c>
      <c r="AA11" s="310">
        <f>GETPIVOTDATA("Sum of NEW-Tot UG SCH Calc",'Pivot Table for Fact Book'!$A$3,"State","LA","Type2","Two-Year")</f>
        <v>1000507.5000000002</v>
      </c>
      <c r="AB11" s="307">
        <f>+GETPIVOTDATA("Sum of OLD-Tot UG SCH Calc",'Pivot Table for Fact Book'!$A$3,"State","LA","type",12,"type2","Techncial")</f>
        <v>298628.00000000012</v>
      </c>
      <c r="AC11" s="308">
        <f>+GETPIVOTDATA("Sum of NEW-Tot UG SCH Calc",'Pivot Table for Fact Book'!$A$3,"State","LA","type",12,"type2","Techncial")</f>
        <v>279893.49999999994</v>
      </c>
      <c r="AD11" s="307">
        <f>+GETPIVOTDATA("Sum of OLD-Tot UG SCH Calc",'Pivot Table for Fact Book'!$A$3,"State","LA","type",13,"type2","Techncial")</f>
        <v>0</v>
      </c>
      <c r="AE11" s="308">
        <f>+GETPIVOTDATA("Sum of NEW-Tot UG SCH Calc",'Pivot Table for Fact Book'!$A$3,"State","LA","type",13,"type2","Techncial")</f>
        <v>0</v>
      </c>
      <c r="AF11" s="311">
        <f>+GETPIVOTDATA("Sum of OLD-Tot UG SCH Calc",'Pivot Table for Fact Book'!$A$3,"State","LA","type2","Techncial")</f>
        <v>298628.00000000012</v>
      </c>
      <c r="AG11" s="312">
        <f>+GETPIVOTDATA("Sum of NEW-Tot UG SCH Calc",'Pivot Table for Fact Book'!$A$3,"State","LA","type2","Techncial")</f>
        <v>279893.49999999994</v>
      </c>
    </row>
    <row r="12" spans="1:33">
      <c r="A12" s="320" t="s">
        <v>892</v>
      </c>
      <c r="B12" s="307">
        <f>GETPIVOTDATA("Sum of OLD-Tot UG SCH Calc",'Pivot Table for Fact Book'!$A$3,"State","MD","type",1,"Type2","Four-Year")</f>
        <v>830277</v>
      </c>
      <c r="C12" s="308">
        <f>GETPIVOTDATA("Sum of NEW-Tot UG SCH Calc",'Pivot Table for Fact Book'!$A$3,"State","MD","type",1,"Type2","Four-Year")</f>
        <v>853125</v>
      </c>
      <c r="D12" s="307">
        <f>GETPIVOTDATA("Sum of OLD-Tot UG SCH Calc",'Pivot Table for Fact Book'!$A$3,"State","MD","type",2,"Type2","Four-Year")</f>
        <v>502166</v>
      </c>
      <c r="E12" s="308">
        <f>GETPIVOTDATA("Sum of NEW-Tot UG SCH Calc",'Pivot Table for Fact Book'!$A$3,"State","MD","type",2,"Type2","Four-Year")</f>
        <v>501329</v>
      </c>
      <c r="F12" s="307">
        <f>GETPIVOTDATA("Sum of OLD-Tot UG SCH Calc",'Pivot Table for Fact Book'!$A$3,"State","MD","type",3,"Type2","Four-Year")</f>
        <v>615500</v>
      </c>
      <c r="G12" s="308">
        <f>GETPIVOTDATA("Sum of NEW-Tot UG SCH Calc",'Pivot Table for Fact Book'!$A$3,"State","MD","type",3,"Type2","Four-Year")</f>
        <v>611968</v>
      </c>
      <c r="H12" s="307">
        <f>GETPIVOTDATA("Sum of OLD-Tot UG SCH Calc",'Pivot Table for Fact Book'!$A$3,"State","MD","type",4,"Type2","Four-Year")</f>
        <v>590602</v>
      </c>
      <c r="I12" s="308">
        <f>GETPIVOTDATA("Sum of NEW-Tot UG SCH Calc",'Pivot Table for Fact Book'!$A$3,"State","MD","type",4,"Type2","Four-Year")</f>
        <v>586463</v>
      </c>
      <c r="J12" s="307">
        <f>GETPIVOTDATA("Sum of OLD-Tot UG SCH Calc",'Pivot Table for Fact Book'!$A$3,"State","MD","type",5,"Type2","Four-Year")</f>
        <v>66610</v>
      </c>
      <c r="K12" s="308">
        <f>GETPIVOTDATA("Sum of NEW-Tot UG SCH Calc",'Pivot Table for Fact Book'!$A$3,"State","MD","type",5,"Type2","Four-Year")</f>
        <v>63125</v>
      </c>
      <c r="L12" s="307">
        <f>GETPIVOTDATA("Sum of OLD-Tot UG SCH Calc",'Pivot Table for Fact Book'!$A$3,"State","MD","type",6,"Type2","Four-Year")</f>
        <v>51243</v>
      </c>
      <c r="M12" s="308">
        <f>GETPIVOTDATA("Sum of NEW-Tot UG SCH Calc",'Pivot Table for Fact Book'!$A$3,"State","MD","type",6,"Type2","Four-Year")</f>
        <v>48855</v>
      </c>
      <c r="N12" s="307">
        <f>GETPIVOTDATA("Sum of OLD-Tot UG SCH Calc",'Pivot Table for Fact Book'!$A$3,"State","MD","type",15,"Type2","Four-Year")</f>
        <v>797203</v>
      </c>
      <c r="O12" s="308">
        <f>GETPIVOTDATA("Sum of NEW-Tot UG SCH Calc",'Pivot Table for Fact Book'!$A$3,"State","MD","type",15,"Type2","Four-Year")</f>
        <v>816016</v>
      </c>
      <c r="P12" s="309">
        <f>GETPIVOTDATA("Sum of OLD-Tot UG SCH Calc",'Pivot Table for Fact Book'!$A$3,"State","MD","Type2","Four-Year")</f>
        <v>3453601</v>
      </c>
      <c r="Q12" s="309">
        <f>GETPIVOTDATA("Sum of NEW-Tot UG SCH Calc",'Pivot Table for Fact Book'!$A$3,"State","MD","Type2","Four-Year")</f>
        <v>3480881</v>
      </c>
      <c r="R12" s="307">
        <f>GETPIVOTDATA("Sum of OLD-Tot UG SCH Calc",'Pivot Table for Fact Book'!$A$3,"State","MD","type",7,"Type2","Two-Year")</f>
        <v>0</v>
      </c>
      <c r="S12" s="308">
        <f>GETPIVOTDATA("Sum of NEW-Tot UG SCH Calc",'Pivot Table for Fact Book'!$A$3,"State","MD","type",7,"Type2","Two-Year")</f>
        <v>0</v>
      </c>
      <c r="T12" s="308">
        <f>GETPIVOTDATA("Sum of OLD-Tot UG SCH Calc",'Pivot Table for Fact Book'!$A$3,"State","MD","type",8,"Type2","Two-Year")</f>
        <v>1945635</v>
      </c>
      <c r="U12" s="308">
        <f>GETPIVOTDATA("Sum of NEW-Tot UG SCH Calc",'Pivot Table for Fact Book'!$A$3,"State","MD","type",8,"Type2","Two-Year")</f>
        <v>2000184</v>
      </c>
      <c r="V12" s="308">
        <f>GETPIVOTDATA("Sum of OLD-Tot UG SCH Calc",'Pivot Table for Fact Book'!$A$3,"State","MD","type",9,"Type2","Two-Year")</f>
        <v>511593</v>
      </c>
      <c r="W12" s="308">
        <f>GETPIVOTDATA("Sum of NEW-Tot UG SCH Calc",'Pivot Table for Fact Book'!$A$3,"State","MD","type",9,"Type2","Two-Year")</f>
        <v>496675.5</v>
      </c>
      <c r="X12" s="308">
        <f>GETPIVOTDATA("Sum of OLD-Tot UG SCH Calc",'Pivot Table for Fact Book'!$A$3,"State","MD","type",10,"Type2","Two-Year")</f>
        <v>157578</v>
      </c>
      <c r="Y12" s="308">
        <f>GETPIVOTDATA("Sum of NEW-Tot UG SCH Calc",'Pivot Table for Fact Book'!$A$3,"State","MD","type",10,"Type2","Two-Year")</f>
        <v>149955.5</v>
      </c>
      <c r="Z12" s="310">
        <f>GETPIVOTDATA("Sum of OLD-Tot UG SCH Calc",'Pivot Table for Fact Book'!$A$3,"State","MD","Type2","Two-Year")</f>
        <v>2614806</v>
      </c>
      <c r="AA12" s="310">
        <f>GETPIVOTDATA("Sum of NEW-Tot UG SCH Calc",'Pivot Table for Fact Book'!$A$3,"State","MD","Type2","Two-Year")</f>
        <v>2646815</v>
      </c>
      <c r="AB12" s="307">
        <f>+GETPIVOTDATA("Sum of OLD-Tot UG SCH Calc",'Pivot Table for Fact Book'!$A$3,"State","MD","type",12,"type2","Techncial")</f>
        <v>0</v>
      </c>
      <c r="AC12" s="308">
        <f>+GETPIVOTDATA("Sum of NEW-Tot UG SCH Calc",'Pivot Table for Fact Book'!$A$3,"State","MD","type",12,"type2","Techncial")</f>
        <v>0</v>
      </c>
      <c r="AD12" s="307">
        <f>+GETPIVOTDATA("Sum of OLD-Tot UG SCH Calc",'Pivot Table for Fact Book'!$A$3,"State","MD","type",13,"type2","Techncial")</f>
        <v>0</v>
      </c>
      <c r="AE12" s="308">
        <f>+GETPIVOTDATA("Sum of NEW-Tot UG SCH Calc",'Pivot Table for Fact Book'!$A$3,"State","MD","type",13,"type2","Techncial")</f>
        <v>0</v>
      </c>
      <c r="AF12" s="311">
        <f>+GETPIVOTDATA("Sum of OLD-Tot UG SCH Calc",'Pivot Table for Fact Book'!$A$3,"State","MD","type2","Techncial")</f>
        <v>0</v>
      </c>
      <c r="AG12" s="312">
        <f>+GETPIVOTDATA("Sum of NEW-Tot UG SCH Calc",'Pivot Table for Fact Book'!$A$3,"State","MD","type2","Techncial")</f>
        <v>0</v>
      </c>
    </row>
    <row r="13" spans="1:33">
      <c r="A13" s="320" t="s">
        <v>893</v>
      </c>
      <c r="B13" s="307">
        <f>GETPIVOTDATA("Sum of OLD-Tot UG SCH Calc",'Pivot Table for Fact Book'!$A$3,"State","MS","type",1,"Type2","Four-Year")</f>
        <v>820010</v>
      </c>
      <c r="C13" s="308">
        <f>GETPIVOTDATA("Sum of NEW-Tot UG SCH Calc",'Pivot Table for Fact Book'!$A$3,"State","MS","type",1,"Type2","Four-Year")</f>
        <v>840604</v>
      </c>
      <c r="D13" s="307">
        <f>GETPIVOTDATA("Sum of OLD-Tot UG SCH Calc",'Pivot Table for Fact Book'!$A$3,"State","MS","type",2,"Type2","Four-Year")</f>
        <v>729103</v>
      </c>
      <c r="E13" s="308">
        <f>GETPIVOTDATA("Sum of NEW-Tot UG SCH Calc",'Pivot Table for Fact Book'!$A$3,"State","MS","type",2,"Type2","Four-Year")</f>
        <v>725749</v>
      </c>
      <c r="F13" s="307">
        <f>GETPIVOTDATA("Sum of OLD-Tot UG SCH Calc",'Pivot Table for Fact Book'!$A$3,"State","MS","type",3,"Type2","Four-Year")</f>
        <v>0</v>
      </c>
      <c r="G13" s="308">
        <f>GETPIVOTDATA("Sum of NEW-Tot UG SCH Calc",'Pivot Table for Fact Book'!$A$3,"State","MS","type",3,"Type2","Four-Year")</f>
        <v>0</v>
      </c>
      <c r="H13" s="307">
        <f>GETPIVOTDATA("Sum of OLD-Tot UG SCH Calc",'Pivot Table for Fact Book'!$A$3,"State","MS","type",4,"Type2","Four-Year")</f>
        <v>207808</v>
      </c>
      <c r="I13" s="308">
        <f>GETPIVOTDATA("Sum of NEW-Tot UG SCH Calc",'Pivot Table for Fact Book'!$A$3,"State","MS","type",4,"Type2","Four-Year")</f>
        <v>214887</v>
      </c>
      <c r="J13" s="307">
        <f>GETPIVOTDATA("Sum of OLD-Tot UG SCH Calc",'Pivot Table for Fact Book'!$A$3,"State","MS","type",5,"Type2","Four-Year")</f>
        <v>71262</v>
      </c>
      <c r="K13" s="308">
        <f>GETPIVOTDATA("Sum of NEW-Tot UG SCH Calc",'Pivot Table for Fact Book'!$A$3,"State","MS","type",5,"Type2","Four-Year")</f>
        <v>71874</v>
      </c>
      <c r="L13" s="307">
        <f>GETPIVOTDATA("Sum of OLD-Tot UG SCH Calc",'Pivot Table for Fact Book'!$A$3,"State","MS","type",6,"Type2","Four-Year")</f>
        <v>0</v>
      </c>
      <c r="M13" s="308">
        <f>GETPIVOTDATA("Sum of NEW-Tot UG SCH Calc",'Pivot Table for Fact Book'!$A$3,"State","MS","type",6,"Type2","Four-Year")</f>
        <v>0</v>
      </c>
      <c r="N13" s="307">
        <f>GETPIVOTDATA("Sum of OLD-Tot UG SCH Calc",'Pivot Table for Fact Book'!$A$3,"State","MS","type",15,"Type2","Four-Year")</f>
        <v>0</v>
      </c>
      <c r="O13" s="308">
        <f>GETPIVOTDATA("Sum of NEW-Tot UG SCH Calc",'Pivot Table for Fact Book'!$A$3,"State","MS","type",15,"Type2","Four-Year")</f>
        <v>0</v>
      </c>
      <c r="P13" s="309">
        <f>GETPIVOTDATA("Sum of OLD-Tot UG SCH Calc",'Pivot Table for Fact Book'!$A$3,"State","MS","Type2","Four-Year")</f>
        <v>1828183</v>
      </c>
      <c r="Q13" s="309">
        <f>GETPIVOTDATA("Sum of NEW-Tot UG SCH Calc",'Pivot Table for Fact Book'!$A$3,"State","MS","Type2","Four-Year")</f>
        <v>1853114</v>
      </c>
      <c r="R13" s="307">
        <f>GETPIVOTDATA("Sum of OLD-Tot UG SCH Calc",'Pivot Table for Fact Book'!$A$3,"State","MS","type",7,"Type2","Two-Year")</f>
        <v>0</v>
      </c>
      <c r="S13" s="308">
        <f>GETPIVOTDATA("Sum of NEW-Tot UG SCH Calc",'Pivot Table for Fact Book'!$A$3,"State","MS","type",7,"Type2","Two-Year")</f>
        <v>0</v>
      </c>
      <c r="T13" s="308">
        <f>GETPIVOTDATA("Sum of OLD-Tot UG SCH Calc",'Pivot Table for Fact Book'!$A$3,"State","MS","type",8,"Type2","Two-Year")</f>
        <v>1038492</v>
      </c>
      <c r="U13" s="308">
        <f>GETPIVOTDATA("Sum of NEW-Tot UG SCH Calc",'Pivot Table for Fact Book'!$A$3,"State","MS","type",8,"Type2","Two-Year")</f>
        <v>1020516</v>
      </c>
      <c r="V13" s="308">
        <f>GETPIVOTDATA("Sum of OLD-Tot UG SCH Calc",'Pivot Table for Fact Book'!$A$3,"State","MS","type",9,"Type2","Two-Year")</f>
        <v>766724.5</v>
      </c>
      <c r="W13" s="308">
        <f>GETPIVOTDATA("Sum of NEW-Tot UG SCH Calc",'Pivot Table for Fact Book'!$A$3,"State","MS","type",9,"Type2","Two-Year")</f>
        <v>760430</v>
      </c>
      <c r="X13" s="308">
        <f>GETPIVOTDATA("Sum of OLD-Tot UG SCH Calc",'Pivot Table for Fact Book'!$A$3,"State","MS","type",10,"Type2","Two-Year")</f>
        <v>104006</v>
      </c>
      <c r="Y13" s="308">
        <f>GETPIVOTDATA("Sum of NEW-Tot UG SCH Calc",'Pivot Table for Fact Book'!$A$3,"State","MS","type",10,"Type2","Two-Year")</f>
        <v>105547</v>
      </c>
      <c r="Z13" s="310">
        <f>GETPIVOTDATA("Sum of OLD-Tot UG SCH Calc",'Pivot Table for Fact Book'!$A$3,"State","MS","Type2","Two-Year")</f>
        <v>1909222.5</v>
      </c>
      <c r="AA13" s="310">
        <f>GETPIVOTDATA("Sum of NEW-Tot UG SCH Calc",'Pivot Table for Fact Book'!$A$3,"State","MS","Type2","Two-Year")</f>
        <v>1886493</v>
      </c>
      <c r="AB13" s="307">
        <f>+GETPIVOTDATA("Sum of OLD-Tot UG SCH Calc",'Pivot Table for Fact Book'!$A$3,"State","MS","type",12,"type2","Techncial")</f>
        <v>0</v>
      </c>
      <c r="AC13" s="308">
        <f>+GETPIVOTDATA("Sum of NEW-Tot UG SCH Calc",'Pivot Table for Fact Book'!$A$3,"State","MS","type",12,"type2","Techncial")</f>
        <v>0</v>
      </c>
      <c r="AD13" s="307">
        <f>+GETPIVOTDATA("Sum of OLD-Tot UG SCH Calc",'Pivot Table for Fact Book'!$A$3,"State","MS","type",13,"type2","Techncial")</f>
        <v>0</v>
      </c>
      <c r="AE13" s="308">
        <f>+GETPIVOTDATA("Sum of NEW-Tot UG SCH Calc",'Pivot Table for Fact Book'!$A$3,"State","MS","type",13,"type2","Techncial")</f>
        <v>0</v>
      </c>
      <c r="AF13" s="311">
        <f>+GETPIVOTDATA("Sum of OLD-Tot UG SCH Calc",'Pivot Table for Fact Book'!$A$3,"State","MS","type2","Techncial")</f>
        <v>0</v>
      </c>
      <c r="AG13" s="312">
        <f>+GETPIVOTDATA("Sum of NEW-Tot UG SCH Calc",'Pivot Table for Fact Book'!$A$3,"State","MS","type2","Techncial")</f>
        <v>0</v>
      </c>
    </row>
    <row r="14" spans="1:33">
      <c r="A14" s="320" t="s">
        <v>894</v>
      </c>
      <c r="B14" s="307">
        <f>GETPIVOTDATA("Sum of OLD-Tot UG SCH Calc",'Pivot Table for Fact Book'!$A$3,"State","NC","type",1,"Type2","Four-Year")</f>
        <v>2295259</v>
      </c>
      <c r="C14" s="308">
        <f>GETPIVOTDATA("Sum of NEW-Tot UG SCH Calc",'Pivot Table for Fact Book'!$A$3,"State","NC","type",1,"Type2","Four-Year")</f>
        <v>2326246</v>
      </c>
      <c r="D14" s="307">
        <f>GETPIVOTDATA("Sum of OLD-Tot UG SCH Calc",'Pivot Table for Fact Book'!$A$3,"State","NC","type",2,"Type2","Four-Year")</f>
        <v>636002</v>
      </c>
      <c r="E14" s="308">
        <f>GETPIVOTDATA("Sum of NEW-Tot UG SCH Calc",'Pivot Table for Fact Book'!$A$3,"State","NC","type",2,"Type2","Four-Year")</f>
        <v>636129</v>
      </c>
      <c r="F14" s="307">
        <f>GETPIVOTDATA("Sum of OLD-Tot UG SCH Calc",'Pivot Table for Fact Book'!$A$3,"State","NC","type",3,"Type2","Four-Year")</f>
        <v>1610453</v>
      </c>
      <c r="G14" s="308">
        <f>GETPIVOTDATA("Sum of NEW-Tot UG SCH Calc",'Pivot Table for Fact Book'!$A$3,"State","NC","type",3,"Type2","Four-Year")</f>
        <v>1653756</v>
      </c>
      <c r="H14" s="307">
        <f>GETPIVOTDATA("Sum of OLD-Tot UG SCH Calc",'Pivot Table for Fact Book'!$A$3,"State","NC","type",4,"Type2","Four-Year")</f>
        <v>147968</v>
      </c>
      <c r="I14" s="308">
        <f>GETPIVOTDATA("Sum of NEW-Tot UG SCH Calc",'Pivot Table for Fact Book'!$A$3,"State","NC","type",4,"Type2","Four-Year")</f>
        <v>142028</v>
      </c>
      <c r="J14" s="307">
        <f>GETPIVOTDATA("Sum of OLD-Tot UG SCH Calc",'Pivot Table for Fact Book'!$A$3,"State","NC","type",5,"Type2","Four-Year")</f>
        <v>285741</v>
      </c>
      <c r="K14" s="308">
        <f>GETPIVOTDATA("Sum of NEW-Tot UG SCH Calc",'Pivot Table for Fact Book'!$A$3,"State","NC","type",5,"Type2","Four-Year")</f>
        <v>279736</v>
      </c>
      <c r="L14" s="307">
        <f>GETPIVOTDATA("Sum of OLD-Tot UG SCH Calc",'Pivot Table for Fact Book'!$A$3,"State","NC","type",6,"Type2","Four-Year")</f>
        <v>146678</v>
      </c>
      <c r="M14" s="308">
        <f>GETPIVOTDATA("Sum of NEW-Tot UG SCH Calc",'Pivot Table for Fact Book'!$A$3,"State","NC","type",6,"Type2","Four-Year")</f>
        <v>140061</v>
      </c>
      <c r="N14" s="307">
        <f>GETPIVOTDATA("Sum of OLD-Tot UG SCH Calc",'Pivot Table for Fact Book'!$A$3,"State","NC","type",15,"Type2","Four-Year")</f>
        <v>0</v>
      </c>
      <c r="O14" s="308">
        <f>GETPIVOTDATA("Sum of NEW-Tot UG SCH Calc",'Pivot Table for Fact Book'!$A$3,"State","NC","type",15,"Type2","Four-Year")</f>
        <v>0</v>
      </c>
      <c r="P14" s="309">
        <f>GETPIVOTDATA("Sum of OLD-Tot UG SCH Calc",'Pivot Table for Fact Book'!$A$3,"State","NC","Type2","Four-Year")</f>
        <v>5122101</v>
      </c>
      <c r="Q14" s="309">
        <f>GETPIVOTDATA("Sum of NEW-Tot UG SCH Calc",'Pivot Table for Fact Book'!$A$3,"State","NC","Type2","Four-Year")</f>
        <v>5177956</v>
      </c>
      <c r="R14" s="307">
        <f>GETPIVOTDATA("Sum of OLD-Tot UG SCH Calc",'Pivot Table for Fact Book'!$A$3,"State","NC","type",7,"Type2","Two-Year")</f>
        <v>0</v>
      </c>
      <c r="S14" s="308">
        <f>GETPIVOTDATA("Sum of NEW-Tot UG SCH Calc",'Pivot Table for Fact Book'!$A$3,"State","NC","type",7,"Type2","Two-Year")</f>
        <v>0</v>
      </c>
      <c r="T14" s="308">
        <f>GETPIVOTDATA("Sum of OLD-Tot UG SCH Calc",'Pivot Table for Fact Book'!$A$3,"State","NC","type",8,"Type2","Two-Year")</f>
        <v>1505882</v>
      </c>
      <c r="U14" s="308">
        <f>GETPIVOTDATA("Sum of NEW-Tot UG SCH Calc",'Pivot Table for Fact Book'!$A$3,"State","NC","type",8,"Type2","Two-Year")</f>
        <v>1508215.1</v>
      </c>
      <c r="V14" s="308">
        <f>GETPIVOTDATA("Sum of OLD-Tot UG SCH Calc",'Pivot Table for Fact Book'!$A$3,"State","NC","type",9,"Type2","Two-Year")</f>
        <v>1236407.5</v>
      </c>
      <c r="W14" s="308">
        <f>GETPIVOTDATA("Sum of NEW-Tot UG SCH Calc",'Pivot Table for Fact Book'!$A$3,"State","NC","type",9,"Type2","Two-Year")</f>
        <v>1224243.5</v>
      </c>
      <c r="X14" s="308">
        <f>GETPIVOTDATA("Sum of OLD-Tot UG SCH Calc",'Pivot Table for Fact Book'!$A$3,"State","NC","type",10,"Type2","Two-Year")</f>
        <v>554343.5</v>
      </c>
      <c r="Y14" s="308">
        <f>GETPIVOTDATA("Sum of NEW-Tot UG SCH Calc",'Pivot Table for Fact Book'!$A$3,"State","NC","type",10,"Type2","Two-Year")</f>
        <v>554541.5</v>
      </c>
      <c r="Z14" s="310">
        <f>GETPIVOTDATA("Sum of OLD-Tot UG SCH Calc",'Pivot Table for Fact Book'!$A$3,"State","NC","Type2","Two-Year")</f>
        <v>3296633</v>
      </c>
      <c r="AA14" s="310">
        <f>GETPIVOTDATA("Sum of NEW-Tot UG SCH Calc",'Pivot Table for Fact Book'!$A$3,"State","NC","Type2","Two-Year")</f>
        <v>3287000.1</v>
      </c>
      <c r="AB14" s="307">
        <f>+GETPIVOTDATA("Sum of OLD-Tot UG SCH Calc",'Pivot Table for Fact Book'!$A$3,"State","NC","type",12,"type2","Techncial")</f>
        <v>0</v>
      </c>
      <c r="AC14" s="308">
        <f>+GETPIVOTDATA("Sum of NEW-Tot UG SCH Calc",'Pivot Table for Fact Book'!$A$3,"State","NC","type",12,"type2","Techncial")</f>
        <v>0</v>
      </c>
      <c r="AD14" s="307">
        <f>+GETPIVOTDATA("Sum of OLD-Tot UG SCH Calc",'Pivot Table for Fact Book'!$A$3,"State","NC","type",13,"type2","Techncial")</f>
        <v>0</v>
      </c>
      <c r="AE14" s="308">
        <f>+GETPIVOTDATA("Sum of NEW-Tot UG SCH Calc",'Pivot Table for Fact Book'!$A$3,"State","NC","type",13,"type2","Techncial")</f>
        <v>0</v>
      </c>
      <c r="AF14" s="311">
        <f>+GETPIVOTDATA("Sum of OLD-Tot UG SCH Calc",'Pivot Table for Fact Book'!$A$3,"State","NC","type2","Techncial")</f>
        <v>0</v>
      </c>
      <c r="AG14" s="312">
        <f>+GETPIVOTDATA("Sum of NEW-Tot UG SCH Calc",'Pivot Table for Fact Book'!$A$3,"State","NC","type2","Techncial")</f>
        <v>0</v>
      </c>
    </row>
    <row r="15" spans="1:33">
      <c r="A15" s="320" t="s">
        <v>895</v>
      </c>
      <c r="B15" s="307">
        <f>GETPIVOTDATA("Sum of OLD-Tot UG SCH Calc",'Pivot Table for Fact Book'!$A$3,"State","OK","type",1,"Type2","Four-Year")</f>
        <v>1199258</v>
      </c>
      <c r="C15" s="308">
        <f>GETPIVOTDATA("Sum of NEW-Tot UG SCH Calc",'Pivot Table for Fact Book'!$A$3,"State","OK","type",1,"Type2","Four-Year")</f>
        <v>1193294</v>
      </c>
      <c r="D15" s="307">
        <f>GETPIVOTDATA("Sum of OLD-Tot UG SCH Calc",'Pivot Table for Fact Book'!$A$3,"State","OK","type",2,"Type2","Four-Year")</f>
        <v>0</v>
      </c>
      <c r="E15" s="308">
        <f>GETPIVOTDATA("Sum of NEW-Tot UG SCH Calc",'Pivot Table for Fact Book'!$A$3,"State","OK","type",2,"Type2","Four-Year")</f>
        <v>0</v>
      </c>
      <c r="F15" s="307">
        <f>GETPIVOTDATA("Sum of OLD-Tot UG SCH Calc",'Pivot Table for Fact Book'!$A$3,"State","OK","type",3,"Type2","Four-Year")</f>
        <v>529639</v>
      </c>
      <c r="G15" s="308">
        <f>GETPIVOTDATA("Sum of NEW-Tot UG SCH Calc",'Pivot Table for Fact Book'!$A$3,"State","OK","type",3,"Type2","Four-Year")</f>
        <v>520865</v>
      </c>
      <c r="H15" s="307">
        <f>GETPIVOTDATA("Sum of OLD-Tot UG SCH Calc",'Pivot Table for Fact Book'!$A$3,"State","OK","type",4,"Type2","Four-Year")</f>
        <v>204996</v>
      </c>
      <c r="I15" s="308">
        <f>GETPIVOTDATA("Sum of NEW-Tot UG SCH Calc",'Pivot Table for Fact Book'!$A$3,"State","OK","type",4,"Type2","Four-Year")</f>
        <v>205446</v>
      </c>
      <c r="J15" s="307">
        <f>GETPIVOTDATA("Sum of OLD-Tot UG SCH Calc",'Pivot Table for Fact Book'!$A$3,"State","OK","type",5,"Type2","Four-Year")</f>
        <v>325694</v>
      </c>
      <c r="K15" s="308">
        <f>GETPIVOTDATA("Sum of NEW-Tot UG SCH Calc",'Pivot Table for Fact Book'!$A$3,"State","OK","type",5,"Type2","Four-Year")</f>
        <v>292626</v>
      </c>
      <c r="L15" s="307">
        <f>GETPIVOTDATA("Sum of OLD-Tot UG SCH Calc",'Pivot Table for Fact Book'!$A$3,"State","OK","type",6,"Type2","Four-Year")</f>
        <v>143521</v>
      </c>
      <c r="M15" s="308">
        <f>GETPIVOTDATA("Sum of NEW-Tot UG SCH Calc",'Pivot Table for Fact Book'!$A$3,"State","OK","type",6,"Type2","Four-Year")</f>
        <v>138785</v>
      </c>
      <c r="N15" s="307">
        <f>GETPIVOTDATA("Sum of OLD-Tot UG SCH Calc",'Pivot Table for Fact Book'!$A$3,"State","OK","type",15,"Type2","Four-Year")</f>
        <v>0</v>
      </c>
      <c r="O15" s="308">
        <f>GETPIVOTDATA("Sum of NEW-Tot UG SCH Calc",'Pivot Table for Fact Book'!$A$3,"State","OK","type",15,"Type2","Four-Year")</f>
        <v>0</v>
      </c>
      <c r="P15" s="309">
        <f>GETPIVOTDATA("Sum of OLD-Tot UG SCH Calc",'Pivot Table for Fact Book'!$A$3,"State","OK","Type2","Four-Year")</f>
        <v>2403108</v>
      </c>
      <c r="Q15" s="309">
        <f>GETPIVOTDATA("Sum of NEW-Tot UG SCH Calc",'Pivot Table for Fact Book'!$A$3,"State","OK","Type2","Four-Year")</f>
        <v>2351016</v>
      </c>
      <c r="R15" s="307">
        <f>GETPIVOTDATA("Sum of OLD-Tot UG SCH Calc",'Pivot Table for Fact Book'!$A$3,"State","OK","type",7,"Type2","Two-Year")</f>
        <v>200921</v>
      </c>
      <c r="S15" s="308">
        <f>GETPIVOTDATA("Sum of NEW-Tot UG SCH Calc",'Pivot Table for Fact Book'!$A$3,"State","OK","type",7,"Type2","Two-Year")</f>
        <v>204757</v>
      </c>
      <c r="T15" s="308">
        <f>GETPIVOTDATA("Sum of OLD-Tot UG SCH Calc",'Pivot Table for Fact Book'!$A$3,"State","OK","type",8,"Type2","Two-Year")</f>
        <v>563681</v>
      </c>
      <c r="U15" s="308">
        <f>GETPIVOTDATA("Sum of NEW-Tot UG SCH Calc",'Pivot Table for Fact Book'!$A$3,"State","OK","type",8,"Type2","Two-Year")</f>
        <v>540588</v>
      </c>
      <c r="V15" s="308">
        <f>GETPIVOTDATA("Sum of OLD-Tot UG SCH Calc",'Pivot Table for Fact Book'!$A$3,"State","OK","type",9,"Type2","Two-Year")</f>
        <v>221929</v>
      </c>
      <c r="W15" s="308">
        <f>GETPIVOTDATA("Sum of NEW-Tot UG SCH Calc",'Pivot Table for Fact Book'!$A$3,"State","OK","type",9,"Type2","Two-Year")</f>
        <v>212511</v>
      </c>
      <c r="X15" s="308">
        <f>GETPIVOTDATA("Sum of OLD-Tot UG SCH Calc",'Pivot Table for Fact Book'!$A$3,"State","OK","type",10,"Type2","Two-Year")</f>
        <v>341168</v>
      </c>
      <c r="Y15" s="308">
        <f>GETPIVOTDATA("Sum of NEW-Tot UG SCH Calc",'Pivot Table for Fact Book'!$A$3,"State","OK","type",10,"Type2","Two-Year")</f>
        <v>320872</v>
      </c>
      <c r="Z15" s="310">
        <f>GETPIVOTDATA("Sum of OLD-Tot UG SCH Calc",'Pivot Table for Fact Book'!$A$3,"State","OK","Type2","Two-Year")</f>
        <v>1327699</v>
      </c>
      <c r="AA15" s="310">
        <f>GETPIVOTDATA("Sum of NEW-Tot UG SCH Calc",'Pivot Table for Fact Book'!$A$3,"State","OK","Type2","Two-Year")</f>
        <v>1278728</v>
      </c>
      <c r="AB15" s="307">
        <f>+GETPIVOTDATA("Sum of OLD-Tot UG SCH Calc",'Pivot Table for Fact Book'!$A$3,"State","OK","type",12,"type2","Techncial")</f>
        <v>0</v>
      </c>
      <c r="AC15" s="308">
        <f>+GETPIVOTDATA("Sum of NEW-Tot UG SCH Calc",'Pivot Table for Fact Book'!$A$3,"State","OK","type",12,"type2","Techncial")</f>
        <v>0</v>
      </c>
      <c r="AD15" s="307">
        <f>+GETPIVOTDATA("Sum of OLD-Tot UG SCH Calc",'Pivot Table for Fact Book'!$A$3,"State","OK","type",13,"type2","Techncial")</f>
        <v>0</v>
      </c>
      <c r="AE15" s="308">
        <f>+GETPIVOTDATA("Sum of NEW-Tot UG SCH Calc",'Pivot Table for Fact Book'!$A$3,"State","OK","type",13,"type2","Techncial")</f>
        <v>0</v>
      </c>
      <c r="AF15" s="311">
        <f>+GETPIVOTDATA("Sum of OLD-Tot UG SCH Calc",'Pivot Table for Fact Book'!$A$3,"State","OK","type2","Techncial")</f>
        <v>0</v>
      </c>
      <c r="AG15" s="312">
        <f>+GETPIVOTDATA("Sum of NEW-Tot UG SCH Calc",'Pivot Table for Fact Book'!$A$3,"State","OK","type2","Techncial")</f>
        <v>0</v>
      </c>
    </row>
    <row r="16" spans="1:33">
      <c r="A16" s="320" t="s">
        <v>896</v>
      </c>
      <c r="B16" s="307">
        <f>GETPIVOTDATA("Sum of OLD-Tot UG SCH Calc",'Pivot Table for Fact Book'!$A$3,"State","SC","type",1,"Type2","Four-Year")</f>
        <v>1337729</v>
      </c>
      <c r="C16" s="308">
        <f>GETPIVOTDATA("Sum of NEW-Tot UG SCH Calc",'Pivot Table for Fact Book'!$A$3,"State","SC","type",1,"Type2","Four-Year")</f>
        <v>1368030</v>
      </c>
      <c r="D16" s="307">
        <f>GETPIVOTDATA("Sum of OLD-Tot UG SCH Calc",'Pivot Table for Fact Book'!$A$3,"State","SC","type",2,"Type2","Four-Year")</f>
        <v>0</v>
      </c>
      <c r="E16" s="308">
        <f>GETPIVOTDATA("Sum of NEW-Tot UG SCH Calc",'Pivot Table for Fact Book'!$A$3,"State","SC","type",2,"Type2","Four-Year")</f>
        <v>0</v>
      </c>
      <c r="F16" s="307">
        <f>GETPIVOTDATA("Sum of OLD-Tot UG SCH Calc",'Pivot Table for Fact Book'!$A$3,"State","SC","type",3,"Type2","Four-Year")</f>
        <v>535875</v>
      </c>
      <c r="G16" s="308">
        <f>GETPIVOTDATA("Sum of NEW-Tot UG SCH Calc",'Pivot Table for Fact Book'!$A$3,"State","SC","type",3,"Type2","Four-Year")</f>
        <v>542042</v>
      </c>
      <c r="H16" s="307">
        <f>GETPIVOTDATA("Sum of OLD-Tot UG SCH Calc",'Pivot Table for Fact Book'!$A$3,"State","SC","type",4,"Type2","Four-Year")</f>
        <v>0</v>
      </c>
      <c r="I16" s="308">
        <f>GETPIVOTDATA("Sum of NEW-Tot UG SCH Calc",'Pivot Table for Fact Book'!$A$3,"State","SC","type",4,"Type2","Four-Year")</f>
        <v>0</v>
      </c>
      <c r="J16" s="307">
        <f>GETPIVOTDATA("Sum of OLD-Tot UG SCH Calc",'Pivot Table for Fact Book'!$A$3,"State","SC","type",5,"Type2","Four-Year")</f>
        <v>452011</v>
      </c>
      <c r="K16" s="308">
        <f>GETPIVOTDATA("Sum of NEW-Tot UG SCH Calc",'Pivot Table for Fact Book'!$A$3,"State","SC","type",5,"Type2","Four-Year")</f>
        <v>453357</v>
      </c>
      <c r="L16" s="307">
        <f>GETPIVOTDATA("Sum of OLD-Tot UG SCH Calc",'Pivot Table for Fact Book'!$A$3,"State","SC","type",6,"Type2","Four-Year")</f>
        <v>370047.5</v>
      </c>
      <c r="M16" s="308">
        <f>GETPIVOTDATA("Sum of NEW-Tot UG SCH Calc",'Pivot Table for Fact Book'!$A$3,"State","SC","type",6,"Type2","Four-Year")</f>
        <v>377881</v>
      </c>
      <c r="N16" s="307">
        <f>GETPIVOTDATA("Sum of OLD-Tot UG SCH Calc",'Pivot Table for Fact Book'!$A$3,"State","SC","type",15,"Type2","Four-Year")</f>
        <v>0</v>
      </c>
      <c r="O16" s="308">
        <f>GETPIVOTDATA("Sum of NEW-Tot UG SCH Calc",'Pivot Table for Fact Book'!$A$3,"State","SC","type",15,"Type2","Four-Year")</f>
        <v>0</v>
      </c>
      <c r="P16" s="309">
        <f>GETPIVOTDATA("Sum of OLD-Tot UG SCH Calc",'Pivot Table for Fact Book'!$A$3,"State","SC","Type2","Four-Year")</f>
        <v>2695662.5</v>
      </c>
      <c r="Q16" s="309">
        <f>GETPIVOTDATA("Sum of NEW-Tot UG SCH Calc",'Pivot Table for Fact Book'!$A$3,"State","SC","Type2","Four-Year")</f>
        <v>2741310</v>
      </c>
      <c r="R16" s="307">
        <f>GETPIVOTDATA("Sum of OLD-Tot UG SCH Calc",'Pivot Table for Fact Book'!$A$3,"State","SC","type",7,"Type2","Two-Year")</f>
        <v>0</v>
      </c>
      <c r="S16" s="308">
        <f>GETPIVOTDATA("Sum of NEW-Tot UG SCH Calc",'Pivot Table for Fact Book'!$A$3,"State","SC","type",7,"Type2","Two-Year")</f>
        <v>0</v>
      </c>
      <c r="T16" s="308">
        <f>GETPIVOTDATA("Sum of OLD-Tot UG SCH Calc",'Pivot Table for Fact Book'!$A$3,"State","SC","type",8,"Type2","Two-Year")</f>
        <v>1085701</v>
      </c>
      <c r="U16" s="308">
        <f>GETPIVOTDATA("Sum of NEW-Tot UG SCH Calc",'Pivot Table for Fact Book'!$A$3,"State","SC","type",8,"Type2","Two-Year")</f>
        <v>1044803</v>
      </c>
      <c r="V16" s="308">
        <f>GETPIVOTDATA("Sum of OLD-Tot UG SCH Calc",'Pivot Table for Fact Book'!$A$3,"State","SC","type",9,"Type2","Two-Year")</f>
        <v>567320</v>
      </c>
      <c r="W16" s="308">
        <f>GETPIVOTDATA("Sum of NEW-Tot UG SCH Calc",'Pivot Table for Fact Book'!$A$3,"State","SC","type",9,"Type2","Two-Year")</f>
        <v>534182</v>
      </c>
      <c r="X16" s="308">
        <f>GETPIVOTDATA("Sum of OLD-Tot UG SCH Calc",'Pivot Table for Fact Book'!$A$3,"State","SC","type",10,"Type2","Two-Year")</f>
        <v>244237</v>
      </c>
      <c r="Y16" s="308">
        <f>GETPIVOTDATA("Sum of NEW-Tot UG SCH Calc",'Pivot Table for Fact Book'!$A$3,"State","SC","type",10,"Type2","Two-Year")</f>
        <v>241051</v>
      </c>
      <c r="Z16" s="310">
        <f>GETPIVOTDATA("Sum of OLD-Tot UG SCH Calc",'Pivot Table for Fact Book'!$A$3,"State","SC","Type2","Two-Year")</f>
        <v>1897258</v>
      </c>
      <c r="AA16" s="310">
        <f>GETPIVOTDATA("Sum of NEW-Tot UG SCH Calc",'Pivot Table for Fact Book'!$A$3,"State","SC","Type2","Two-Year")</f>
        <v>1820036</v>
      </c>
      <c r="AB16" s="307">
        <f>+GETPIVOTDATA("Sum of OLD-Tot UG SCH Calc",'Pivot Table for Fact Book'!$A$3,"State","SC","type",12,"type2","Techncial")</f>
        <v>0</v>
      </c>
      <c r="AC16" s="308">
        <f>+GETPIVOTDATA("Sum of NEW-Tot UG SCH Calc",'Pivot Table for Fact Book'!$A$3,"State","SC","type",12,"type2","Techncial")</f>
        <v>0</v>
      </c>
      <c r="AD16" s="307">
        <f>+GETPIVOTDATA("Sum of OLD-Tot UG SCH Calc",'Pivot Table for Fact Book'!$A$3,"State","SC","type",13,"type2","Techncial")</f>
        <v>0</v>
      </c>
      <c r="AE16" s="308">
        <f>+GETPIVOTDATA("Sum of NEW-Tot UG SCH Calc",'Pivot Table for Fact Book'!$A$3,"State","SC","type",13,"type2","Techncial")</f>
        <v>0</v>
      </c>
      <c r="AF16" s="311">
        <f>+GETPIVOTDATA("Sum of OLD-Tot UG SCH Calc",'Pivot Table for Fact Book'!$A$3,"State","SC","type2","Techncial")</f>
        <v>0</v>
      </c>
      <c r="AG16" s="312">
        <f>+GETPIVOTDATA("Sum of NEW-Tot UG SCH Calc",'Pivot Table for Fact Book'!$A$3,"State","SC","type2","Techncial")</f>
        <v>0</v>
      </c>
    </row>
    <row r="17" spans="1:33">
      <c r="A17" s="320" t="s">
        <v>897</v>
      </c>
      <c r="B17" s="307">
        <f>GETPIVOTDATA("Sum of OLD-Tot UG SCH Calc",'Pivot Table for Fact Book'!$A$3,"State","TN","type",1,"Type2","Four-Year")</f>
        <v>1021674</v>
      </c>
      <c r="C17" s="308">
        <f>GETPIVOTDATA("Sum of NEW-Tot UG SCH Calc",'Pivot Table for Fact Book'!$A$3,"State","TN","type",1,"Type2","Four-Year")</f>
        <v>1032856</v>
      </c>
      <c r="D17" s="307">
        <f>GETPIVOTDATA("Sum of OLD-Tot UG SCH Calc",'Pivot Table for Fact Book'!$A$3,"State","TN","type",2,"Type2","Four-Year")</f>
        <v>1001080</v>
      </c>
      <c r="E17" s="308">
        <f>GETPIVOTDATA("Sum of NEW-Tot UG SCH Calc",'Pivot Table for Fact Book'!$A$3,"State","TN","type",2,"Type2","Four-Year")</f>
        <v>986151</v>
      </c>
      <c r="F17" s="307">
        <f>GETPIVOTDATA("Sum of OLD-Tot UG SCH Calc",'Pivot Table for Fact Book'!$A$3,"State","TN","type",3,"Type2","Four-Year")</f>
        <v>771767</v>
      </c>
      <c r="G17" s="308">
        <f>GETPIVOTDATA("Sum of NEW-Tot UG SCH Calc",'Pivot Table for Fact Book'!$A$3,"State","TN","type",3,"Type2","Four-Year")</f>
        <v>769996</v>
      </c>
      <c r="H17" s="307">
        <f>GETPIVOTDATA("Sum of OLD-Tot UG SCH Calc",'Pivot Table for Fact Book'!$A$3,"State","TN","type",4,"Type2","Four-Year")</f>
        <v>0</v>
      </c>
      <c r="I17" s="308">
        <f>GETPIVOTDATA("Sum of NEW-Tot UG SCH Calc",'Pivot Table for Fact Book'!$A$3,"State","TN","type",4,"Type2","Four-Year")</f>
        <v>0</v>
      </c>
      <c r="J17" s="307">
        <f>GETPIVOTDATA("Sum of OLD-Tot UG SCH Calc",'Pivot Table for Fact Book'!$A$3,"State","TN","type",5,"Type2","Four-Year")</f>
        <v>169557</v>
      </c>
      <c r="K17" s="308">
        <f>GETPIVOTDATA("Sum of NEW-Tot UG SCH Calc",'Pivot Table for Fact Book'!$A$3,"State","TN","type",5,"Type2","Four-Year")</f>
        <v>164451</v>
      </c>
      <c r="L17" s="307">
        <f>GETPIVOTDATA("Sum of OLD-Tot UG SCH Calc",'Pivot Table for Fact Book'!$A$3,"State","TN","type",6,"Type2","Four-Year")</f>
        <v>0</v>
      </c>
      <c r="M17" s="308">
        <f>GETPIVOTDATA("Sum of NEW-Tot UG SCH Calc",'Pivot Table for Fact Book'!$A$3,"State","TN","type",6,"Type2","Four-Year")</f>
        <v>0</v>
      </c>
      <c r="N17" s="307">
        <f>GETPIVOTDATA("Sum of OLD-Tot UG SCH Calc",'Pivot Table for Fact Book'!$A$3,"State","TN","type",15,"Type2","Four-Year")</f>
        <v>0</v>
      </c>
      <c r="O17" s="308">
        <f>GETPIVOTDATA("Sum of NEW-Tot UG SCH Calc",'Pivot Table for Fact Book'!$A$3,"State","TN","type",15,"Type2","Four-Year")</f>
        <v>0</v>
      </c>
      <c r="P17" s="309">
        <f>GETPIVOTDATA("Sum of OLD-Tot UG SCH Calc",'Pivot Table for Fact Book'!$A$3,"State","TN","Type2","Four-Year")</f>
        <v>2964078</v>
      </c>
      <c r="Q17" s="309">
        <f>GETPIVOTDATA("Sum of NEW-Tot UG SCH Calc",'Pivot Table for Fact Book'!$A$3,"State","TN","Type2","Four-Year")</f>
        <v>2953454</v>
      </c>
      <c r="R17" s="307">
        <f>GETPIVOTDATA("Sum of OLD-Tot UG SCH Calc",'Pivot Table for Fact Book'!$A$3,"State","TN","type",7,"Type2","Two-Year")</f>
        <v>0</v>
      </c>
      <c r="S17" s="308">
        <f>GETPIVOTDATA("Sum of NEW-Tot UG SCH Calc",'Pivot Table for Fact Book'!$A$3,"State","TN","type",7,"Type2","Two-Year")</f>
        <v>0</v>
      </c>
      <c r="T17" s="308">
        <f>GETPIVOTDATA("Sum of OLD-Tot UG SCH Calc",'Pivot Table for Fact Book'!$A$3,"State","TN","type",8,"Type2","Two-Year")</f>
        <v>883605.5</v>
      </c>
      <c r="U17" s="308">
        <f>GETPIVOTDATA("Sum of NEW-Tot UG SCH Calc",'Pivot Table for Fact Book'!$A$3,"State","TN","type",8,"Type2","Two-Year")</f>
        <v>871296</v>
      </c>
      <c r="V17" s="308">
        <f>GETPIVOTDATA("Sum of OLD-Tot UG SCH Calc",'Pivot Table for Fact Book'!$A$3,"State","TN","type",9,"Type2","Two-Year")</f>
        <v>724721</v>
      </c>
      <c r="W17" s="308">
        <f>GETPIVOTDATA("Sum of NEW-Tot UG SCH Calc",'Pivot Table for Fact Book'!$A$3,"State","TN","type",9,"Type2","Two-Year")</f>
        <v>737823</v>
      </c>
      <c r="X17" s="308">
        <f>GETPIVOTDATA("Sum of OLD-Tot UG SCH Calc",'Pivot Table for Fact Book'!$A$3,"State","TN","type",10,"Type2","Two-Year")</f>
        <v>50054</v>
      </c>
      <c r="Y17" s="308">
        <f>GETPIVOTDATA("Sum of NEW-Tot UG SCH Calc",'Pivot Table for Fact Book'!$A$3,"State","TN","type",10,"Type2","Two-Year")</f>
        <v>50263</v>
      </c>
      <c r="Z17" s="310">
        <f>GETPIVOTDATA("Sum of OLD-Tot UG SCH Calc",'Pivot Table for Fact Book'!$A$3,"State","TN","Type2","Two-Year")</f>
        <v>1658380.5</v>
      </c>
      <c r="AA17" s="310">
        <f>GETPIVOTDATA("Sum of NEW-Tot UG SCH Calc",'Pivot Table for Fact Book'!$A$3,"State","TN","Type2","Two-Year")</f>
        <v>1659382</v>
      </c>
      <c r="AB17" s="307">
        <f>+GETPIVOTDATA("Sum of OLD-Tot UG SCH Calc",'Pivot Table for Fact Book'!$A$3,"State","TN","type",12,"type2","Techncial")</f>
        <v>0</v>
      </c>
      <c r="AC17" s="308">
        <f>+GETPIVOTDATA("Sum of NEW-Tot UG SCH Calc",'Pivot Table for Fact Book'!$A$3,"State","TN","type",12,"type2","Techncial")</f>
        <v>0</v>
      </c>
      <c r="AD17" s="307">
        <f>+GETPIVOTDATA("Sum of OLD-Tot UG SCH Calc",'Pivot Table for Fact Book'!$A$3,"State","TN","type",13,"type2","Techncial")</f>
        <v>0</v>
      </c>
      <c r="AE17" s="308">
        <f>+GETPIVOTDATA("Sum of NEW-Tot UG SCH Calc",'Pivot Table for Fact Book'!$A$3,"State","TN","type",13,"type2","Techncial")</f>
        <v>0</v>
      </c>
      <c r="AF17" s="311">
        <f>+GETPIVOTDATA("Sum of OLD-Tot UG SCH Calc",'Pivot Table for Fact Book'!$A$3,"State","TN","type2","Techncial")</f>
        <v>0</v>
      </c>
      <c r="AG17" s="312">
        <f>+GETPIVOTDATA("Sum of NEW-Tot UG SCH Calc",'Pivot Table for Fact Book'!$A$3,"State","TN","type2","Techncial")</f>
        <v>0</v>
      </c>
    </row>
    <row r="18" spans="1:33">
      <c r="A18" s="320" t="s">
        <v>898</v>
      </c>
      <c r="B18" s="307">
        <f>GETPIVOTDATA("Sum of OLD-Tot UG SCH Calc",'Pivot Table for Fact Book'!$A$3,"State","TX","type",1,"Type2","Four-Year")</f>
        <v>6557810</v>
      </c>
      <c r="C18" s="308">
        <f>GETPIVOTDATA("Sum of NEW-Tot UG SCH Calc",'Pivot Table for Fact Book'!$A$3,"State","TX","type",1,"Type2","Four-Year")</f>
        <v>6791283</v>
      </c>
      <c r="D18" s="307">
        <f>GETPIVOTDATA("Sum of OLD-Tot UG SCH Calc",'Pivot Table for Fact Book'!$A$3,"State","TX","type",2,"Type2","Four-Year")</f>
        <v>1602629</v>
      </c>
      <c r="E18" s="308">
        <f>GETPIVOTDATA("Sum of NEW-Tot UG SCH Calc",'Pivot Table for Fact Book'!$A$3,"State","TX","type",2,"Type2","Four-Year")</f>
        <v>1626698</v>
      </c>
      <c r="F18" s="307">
        <f>GETPIVOTDATA("Sum of OLD-Tot UG SCH Calc",'Pivot Table for Fact Book'!$A$3,"State","TX","type",3,"Type2","Four-Year")</f>
        <v>3937302</v>
      </c>
      <c r="G18" s="308">
        <f>GETPIVOTDATA("Sum of NEW-Tot UG SCH Calc",'Pivot Table for Fact Book'!$A$3,"State","TX","type",3,"Type2","Four-Year")</f>
        <v>4052889</v>
      </c>
      <c r="H18" s="307">
        <f>GETPIVOTDATA("Sum of OLD-Tot UG SCH Calc",'Pivot Table for Fact Book'!$A$3,"State","TX","type",4,"Type2","Four-Year")</f>
        <v>145098</v>
      </c>
      <c r="I18" s="308">
        <f>GETPIVOTDATA("Sum of NEW-Tot UG SCH Calc",'Pivot Table for Fact Book'!$A$3,"State","TX","type",4,"Type2","Four-Year")</f>
        <v>149227</v>
      </c>
      <c r="J18" s="307">
        <f>GETPIVOTDATA("Sum of OLD-Tot UG SCH Calc",'Pivot Table for Fact Book'!$A$3,"State","TX","type",5,"Type2","Four-Year")</f>
        <v>425518</v>
      </c>
      <c r="K18" s="308">
        <f>GETPIVOTDATA("Sum of NEW-Tot UG SCH Calc",'Pivot Table for Fact Book'!$A$3,"State","TX","type",5,"Type2","Four-Year")</f>
        <v>447101</v>
      </c>
      <c r="L18" s="307">
        <f>GETPIVOTDATA("Sum of OLD-Tot UG SCH Calc",'Pivot Table for Fact Book'!$A$3,"State","TX","type",6,"Type2","Four-Year")</f>
        <v>0</v>
      </c>
      <c r="M18" s="308">
        <f>GETPIVOTDATA("Sum of NEW-Tot UG SCH Calc",'Pivot Table for Fact Book'!$A$3,"State","TX","type",6,"Type2","Four-Year")</f>
        <v>0</v>
      </c>
      <c r="N18" s="307">
        <f>GETPIVOTDATA("Sum of OLD-Tot UG SCH Calc",'Pivot Table for Fact Book'!$A$3,"State","TX","type",15,"Type2","Four-Year")</f>
        <v>0</v>
      </c>
      <c r="O18" s="308">
        <f>GETPIVOTDATA("Sum of NEW-Tot UG SCH Calc",'Pivot Table for Fact Book'!$A$3,"State","TX","type",15,"Type2","Four-Year")</f>
        <v>0</v>
      </c>
      <c r="P18" s="309">
        <f>GETPIVOTDATA("Sum of OLD-Tot UG SCH Calc",'Pivot Table for Fact Book'!$A$3,"State","TX","Type2","Four-Year")</f>
        <v>12668357</v>
      </c>
      <c r="Q18" s="309">
        <f>GETPIVOTDATA("Sum of NEW-Tot UG SCH Calc",'Pivot Table for Fact Book'!$A$3,"State","TX","Type2","Four-Year")</f>
        <v>13067198</v>
      </c>
      <c r="R18" s="307">
        <f>GETPIVOTDATA("Sum of OLD-Tot UG SCH Calc",'Pivot Table for Fact Book'!$A$3,"State","TX","type",7,"Type2","Two-Year")</f>
        <v>818747</v>
      </c>
      <c r="S18" s="308">
        <f>GETPIVOTDATA("Sum of NEW-Tot UG SCH Calc",'Pivot Table for Fact Book'!$A$3,"State","TX","type",7,"Type2","Two-Year")</f>
        <v>807871</v>
      </c>
      <c r="T18" s="308">
        <f>GETPIVOTDATA("Sum of OLD-Tot UG SCH Calc",'Pivot Table for Fact Book'!$A$3,"State","TX","type",8,"Type2","Two-Year")</f>
        <v>10046215</v>
      </c>
      <c r="U18" s="308">
        <f>GETPIVOTDATA("Sum of NEW-Tot UG SCH Calc",'Pivot Table for Fact Book'!$A$3,"State","TX","type",8,"Type2","Two-Year")</f>
        <v>10052355</v>
      </c>
      <c r="V18" s="308">
        <f>GETPIVOTDATA("Sum of OLD-Tot UG SCH Calc",'Pivot Table for Fact Book'!$A$3,"State","TX","type",9,"Type2","Two-Year")</f>
        <v>2467845</v>
      </c>
      <c r="W18" s="308">
        <f>GETPIVOTDATA("Sum of NEW-Tot UG SCH Calc",'Pivot Table for Fact Book'!$A$3,"State","TX","type",9,"Type2","Two-Year")</f>
        <v>2512243</v>
      </c>
      <c r="X18" s="308">
        <f>GETPIVOTDATA("Sum of OLD-Tot UG SCH Calc",'Pivot Table for Fact Book'!$A$3,"State","TX","type",10,"Type2","Two-Year")</f>
        <v>496580</v>
      </c>
      <c r="Y18" s="308">
        <f>GETPIVOTDATA("Sum of NEW-Tot UG SCH Calc",'Pivot Table for Fact Book'!$A$3,"State","TX","type",10,"Type2","Two-Year")</f>
        <v>522054</v>
      </c>
      <c r="Z18" s="310">
        <f>GETPIVOTDATA("Sum of OLD-Tot UG SCH Calc",'Pivot Table for Fact Book'!$A$3,"State","TX","Type2","Two-Year")</f>
        <v>13829387</v>
      </c>
      <c r="AA18" s="310">
        <f>GETPIVOTDATA("Sum of NEW-Tot UG SCH Calc",'Pivot Table for Fact Book'!$A$3,"State","TX","Type2","Two-Year")</f>
        <v>13894523</v>
      </c>
      <c r="AB18" s="307">
        <f>+GETPIVOTDATA("Sum of OLD-Tot UG SCH Calc",'Pivot Table for Fact Book'!$A$3,"State","TX","type",12,"type2","Techncial")</f>
        <v>0</v>
      </c>
      <c r="AC18" s="308">
        <f>+GETPIVOTDATA("Sum of NEW-Tot UG SCH Calc",'Pivot Table for Fact Book'!$A$3,"State","TX","type",12,"type2","Techncial")</f>
        <v>0</v>
      </c>
      <c r="AD18" s="307">
        <f>+GETPIVOTDATA("Sum of OLD-Tot UG SCH Calc",'Pivot Table for Fact Book'!$A$3,"State","TX","type",13,"type2","Techncial")</f>
        <v>0</v>
      </c>
      <c r="AE18" s="308">
        <f>+GETPIVOTDATA("Sum of NEW-Tot UG SCH Calc",'Pivot Table for Fact Book'!$A$3,"State","TX","type",13,"type2","Techncial")</f>
        <v>0</v>
      </c>
      <c r="AF18" s="311">
        <f>+GETPIVOTDATA("Sum of OLD-Tot UG SCH Calc",'Pivot Table for Fact Book'!$A$3,"State","TX","type2","Techncial")</f>
        <v>0</v>
      </c>
      <c r="AG18" s="312">
        <f>+GETPIVOTDATA("Sum of NEW-Tot UG SCH Calc",'Pivot Table for Fact Book'!$A$3,"State","TX","type2","Techncial")</f>
        <v>0</v>
      </c>
    </row>
    <row r="19" spans="1:33">
      <c r="A19" s="320" t="s">
        <v>899</v>
      </c>
      <c r="B19" s="307">
        <f>GETPIVOTDATA("Sum of OLD-Tot UG SCH Calc",'Pivot Table for Fact Book'!$A$3,"State","VA","type",1,"Type2","Four-Year")</f>
        <v>3135643.5</v>
      </c>
      <c r="C19" s="308">
        <f>GETPIVOTDATA("Sum of NEW-Tot UG SCH Calc",'Pivot Table for Fact Book'!$A$3,"State","VA","type",1,"Type2","Four-Year")</f>
        <v>3178344.5</v>
      </c>
      <c r="D19" s="307">
        <f>GETPIVOTDATA("Sum of OLD-Tot UG SCH Calc",'Pivot Table for Fact Book'!$A$3,"State","VA","type",2,"Type2","Four-Year")</f>
        <v>186363.6</v>
      </c>
      <c r="E19" s="308">
        <f>GETPIVOTDATA("Sum of NEW-Tot UG SCH Calc",'Pivot Table for Fact Book'!$A$3,"State","VA","type",2,"Type2","Four-Year")</f>
        <v>186460.5</v>
      </c>
      <c r="F19" s="307">
        <f>GETPIVOTDATA("Sum of OLD-Tot UG SCH Calc",'Pivot Table for Fact Book'!$A$3,"State","VA","type",3,"Type2","Four-Year")</f>
        <v>1343384.4</v>
      </c>
      <c r="G19" s="308">
        <f>GETPIVOTDATA("Sum of NEW-Tot UG SCH Calc",'Pivot Table for Fact Book'!$A$3,"State","VA","type",3,"Type2","Four-Year")</f>
        <v>1342365.1</v>
      </c>
      <c r="H19" s="307">
        <f>GETPIVOTDATA("Sum of OLD-Tot UG SCH Calc",'Pivot Table for Fact Book'!$A$3,"State","VA","type",4,"Type2","Four-Year")</f>
        <v>0</v>
      </c>
      <c r="I19" s="308">
        <f>GETPIVOTDATA("Sum of NEW-Tot UG SCH Calc",'Pivot Table for Fact Book'!$A$3,"State","VA","type",4,"Type2","Four-Year")</f>
        <v>0</v>
      </c>
      <c r="J19" s="307">
        <f>GETPIVOTDATA("Sum of OLD-Tot UG SCH Calc",'Pivot Table for Fact Book'!$A$3,"State","VA","type",5,"Type2","Four-Year")</f>
        <v>145990</v>
      </c>
      <c r="K19" s="308">
        <f>GETPIVOTDATA("Sum of NEW-Tot UG SCH Calc",'Pivot Table for Fact Book'!$A$3,"State","VA","type",5,"Type2","Four-Year")</f>
        <v>144046</v>
      </c>
      <c r="L19" s="307">
        <f>GETPIVOTDATA("Sum of OLD-Tot UG SCH Calc",'Pivot Table for Fact Book'!$A$3,"State","VA","type",6,"Type2","Four-Year")</f>
        <v>49831</v>
      </c>
      <c r="M19" s="308">
        <f>GETPIVOTDATA("Sum of NEW-Tot UG SCH Calc",'Pivot Table for Fact Book'!$A$3,"State","VA","type",6,"Type2","Four-Year")</f>
        <v>47928</v>
      </c>
      <c r="N19" s="307">
        <f>GETPIVOTDATA("Sum of OLD-Tot UG SCH Calc",'Pivot Table for Fact Book'!$A$3,"State","VA","type",15,"Type2","Four-Year")</f>
        <v>0</v>
      </c>
      <c r="O19" s="308">
        <f>GETPIVOTDATA("Sum of NEW-Tot UG SCH Calc",'Pivot Table for Fact Book'!$A$3,"State","VA","type",15,"Type2","Four-Year")</f>
        <v>0</v>
      </c>
      <c r="P19" s="309">
        <f>GETPIVOTDATA("Sum of OLD-Tot UG SCH Calc",'Pivot Table for Fact Book'!$A$3,"State","VA","Type2","Four-Year")</f>
        <v>4861212.5</v>
      </c>
      <c r="Q19" s="309">
        <f>GETPIVOTDATA("Sum of NEW-Tot UG SCH Calc",'Pivot Table for Fact Book'!$A$3,"State","VA","Type2","Four-Year")</f>
        <v>4899144.0999999996</v>
      </c>
      <c r="R19" s="307">
        <f>GETPIVOTDATA("Sum of OLD-Tot UG SCH Calc",'Pivot Table for Fact Book'!$A$3,"State","VA","type",7,"Type2","Two-Year")</f>
        <v>0</v>
      </c>
      <c r="S19" s="308">
        <f>GETPIVOTDATA("Sum of NEW-Tot UG SCH Calc",'Pivot Table for Fact Book'!$A$3,"State","VA","type",7,"Type2","Two-Year")</f>
        <v>0</v>
      </c>
      <c r="T19" s="308">
        <f>GETPIVOTDATA("Sum of OLD-Tot UG SCH Calc",'Pivot Table for Fact Book'!$A$3,"State","VA","type",8,"Type2","Two-Year")</f>
        <v>2041798.5</v>
      </c>
      <c r="U19" s="308">
        <f>GETPIVOTDATA("Sum of NEW-Tot UG SCH Calc",'Pivot Table for Fact Book'!$A$3,"State","VA","type",8,"Type2","Two-Year")</f>
        <v>1949172</v>
      </c>
      <c r="V19" s="308">
        <f>GETPIVOTDATA("Sum of OLD-Tot UG SCH Calc",'Pivot Table for Fact Book'!$A$3,"State","VA","type",9,"Type2","Two-Year")</f>
        <v>850570</v>
      </c>
      <c r="W19" s="308">
        <f>GETPIVOTDATA("Sum of NEW-Tot UG SCH Calc",'Pivot Table for Fact Book'!$A$3,"State","VA","type",9,"Type2","Two-Year")</f>
        <v>811496</v>
      </c>
      <c r="X19" s="308">
        <f>GETPIVOTDATA("Sum of OLD-Tot UG SCH Calc",'Pivot Table for Fact Book'!$A$3,"State","VA","type",10,"Type2","Two-Year")</f>
        <v>412438</v>
      </c>
      <c r="Y19" s="308">
        <f>GETPIVOTDATA("Sum of NEW-Tot UG SCH Calc",'Pivot Table for Fact Book'!$A$3,"State","VA","type",10,"Type2","Two-Year")</f>
        <v>391780</v>
      </c>
      <c r="Z19" s="310">
        <f>GETPIVOTDATA("Sum of OLD-Tot UG SCH Calc",'Pivot Table for Fact Book'!$A$3,"State","VA","Type2","Two-Year")</f>
        <v>3304806.5</v>
      </c>
      <c r="AA19" s="310">
        <f>GETPIVOTDATA("Sum of NEW-Tot UG SCH Calc",'Pivot Table for Fact Book'!$A$3,"State","VA","Type2","Two-Year")</f>
        <v>3152448</v>
      </c>
      <c r="AB19" s="307">
        <f>+GETPIVOTDATA("Sum of OLD-Tot UG SCH Calc",'Pivot Table for Fact Book'!$A$3,"State","VA","type",12,"type2","Techncial")</f>
        <v>0</v>
      </c>
      <c r="AC19" s="308">
        <f>+GETPIVOTDATA("Sum of NEW-Tot UG SCH Calc",'Pivot Table for Fact Book'!$A$3,"State","VA","type",12,"type2","Techncial")</f>
        <v>0</v>
      </c>
      <c r="AD19" s="307">
        <f>+GETPIVOTDATA("Sum of OLD-Tot UG SCH Calc",'Pivot Table for Fact Book'!$A$3,"State","VA","type",13,"type2","Techncial")</f>
        <v>0</v>
      </c>
      <c r="AE19" s="308">
        <f>+GETPIVOTDATA("Sum of NEW-Tot UG SCH Calc",'Pivot Table for Fact Book'!$A$3,"State","VA","type",13,"type2","Techncial")</f>
        <v>0</v>
      </c>
      <c r="AF19" s="311">
        <f>+GETPIVOTDATA("Sum of OLD-Tot UG SCH Calc",'Pivot Table for Fact Book'!$A$3,"State","VA","type2","Techncial")</f>
        <v>0</v>
      </c>
      <c r="AG19" s="312">
        <f>+GETPIVOTDATA("Sum of NEW-Tot UG SCH Calc",'Pivot Table for Fact Book'!$A$3,"State","VA","type2","Techncial")</f>
        <v>0</v>
      </c>
    </row>
    <row r="20" spans="1:33">
      <c r="A20" s="341" t="s">
        <v>900</v>
      </c>
      <c r="B20" s="313">
        <f>GETPIVOTDATA("Sum of OLD-Tot UG SCH Calc",'Pivot Table for Fact Book'!$A$3,"State","WV","type",1,"Type2","Four-Year")</f>
        <v>650502</v>
      </c>
      <c r="C20" s="314">
        <f>GETPIVOTDATA("Sum of NEW-Tot UG SCH Calc",'Pivot Table for Fact Book'!$A$3,"State","WV","type",1,"Type2","Four-Year")</f>
        <v>652521</v>
      </c>
      <c r="D20" s="313">
        <f>GETPIVOTDATA("Sum of OLD-Tot UG SCH Calc",'Pivot Table for Fact Book'!$A$3,"State","WV","type",2,"Type2","Four-Year")</f>
        <v>0</v>
      </c>
      <c r="E20" s="314">
        <f>GETPIVOTDATA("Sum of NEW-Tot UG SCH Calc",'Pivot Table for Fact Book'!$A$3,"State","WV","type",2,"Type2","Four-Year")</f>
        <v>0</v>
      </c>
      <c r="F20" s="313">
        <f>GETPIVOTDATA("Sum of OLD-Tot UG SCH Calc",'Pivot Table for Fact Book'!$A$3,"State","WV","type",3,"Type2","Four-Year")</f>
        <v>264382</v>
      </c>
      <c r="G20" s="314">
        <f>GETPIVOTDATA("Sum of NEW-Tot UG SCH Calc",'Pivot Table for Fact Book'!$A$3,"State","WV","type",3,"Type2","Four-Year")</f>
        <v>261348</v>
      </c>
      <c r="H20" s="313">
        <f>GETPIVOTDATA("Sum of OLD-Tot UG SCH Calc",'Pivot Table for Fact Book'!$A$3,"State","WV","type",4,"Type2","Four-Year")</f>
        <v>0</v>
      </c>
      <c r="I20" s="314">
        <f>GETPIVOTDATA("Sum of NEW-Tot UG SCH Calc",'Pivot Table for Fact Book'!$A$3,"State","WV","type",4,"Type2","Four-Year")</f>
        <v>0</v>
      </c>
      <c r="J20" s="313">
        <f>GETPIVOTDATA("Sum of OLD-Tot UG SCH Calc",'Pivot Table for Fact Book'!$A$3,"State","WV","type",5,"Type2","Four-Year")</f>
        <v>317332</v>
      </c>
      <c r="K20" s="314">
        <f>GETPIVOTDATA("Sum of NEW-Tot UG SCH Calc",'Pivot Table for Fact Book'!$A$3,"State","WV","type",5,"Type2","Four-Year")</f>
        <v>304438</v>
      </c>
      <c r="L20" s="313">
        <f>GETPIVOTDATA("Sum of OLD-Tot UG SCH Calc",'Pivot Table for Fact Book'!$A$3,"State","WV","type",6,"Type2","Four-Year")</f>
        <v>172060</v>
      </c>
      <c r="M20" s="314">
        <f>GETPIVOTDATA("Sum of NEW-Tot UG SCH Calc",'Pivot Table for Fact Book'!$A$3,"State","WV","type",6,"Type2","Four-Year")</f>
        <v>177089</v>
      </c>
      <c r="N20" s="313">
        <f>GETPIVOTDATA("Sum of OLD-Tot UG SCH Calc",'Pivot Table for Fact Book'!$A$3,"State","WV","type",15,"Type2","Four-Year")</f>
        <v>0</v>
      </c>
      <c r="O20" s="314">
        <f>GETPIVOTDATA("Sum of NEW-Tot UG SCH Calc",'Pivot Table for Fact Book'!$A$3,"State","WV","type",15,"Type2","Four-Year")</f>
        <v>0</v>
      </c>
      <c r="P20" s="315">
        <f>GETPIVOTDATA("Sum of OLD-Tot UG SCH Calc",'Pivot Table for Fact Book'!$A$3,"State","WV","Type2","Four-Year")</f>
        <v>1404276</v>
      </c>
      <c r="Q20" s="315">
        <f>GETPIVOTDATA("Sum of NEW-Tot UG SCH Calc",'Pivot Table for Fact Book'!$A$3,"State","WV","Type2","Four-Year")</f>
        <v>1395396</v>
      </c>
      <c r="R20" s="313">
        <f>GETPIVOTDATA("Sum of OLD-Tot UG SCH Calc",'Pivot Table for Fact Book'!$A$3,"State","WV","type",7,"Type2","Two-Year")</f>
        <v>92497</v>
      </c>
      <c r="S20" s="314">
        <f>GETPIVOTDATA("Sum of NEW-Tot UG SCH Calc",'Pivot Table for Fact Book'!$A$3,"State","WV","type",7,"Type2","Two-Year")</f>
        <v>91128</v>
      </c>
      <c r="T20" s="314">
        <f>GETPIVOTDATA("Sum of OLD-Tot UG SCH Calc",'Pivot Table for Fact Book'!$A$3,"State","WV","type",8,"Type2","Two-Year")</f>
        <v>0</v>
      </c>
      <c r="U20" s="314">
        <f>GETPIVOTDATA("Sum of NEW-Tot UG SCH Calc",'Pivot Table for Fact Book'!$A$3,"State","WV","type",8,"Type2","Two-Year")</f>
        <v>0</v>
      </c>
      <c r="V20" s="314">
        <f>GETPIVOTDATA("Sum of OLD-Tot UG SCH Calc",'Pivot Table for Fact Book'!$A$3,"State","WV","type",9,"Type2","Two-Year")</f>
        <v>0</v>
      </c>
      <c r="W20" s="314">
        <f>GETPIVOTDATA("Sum of NEW-Tot UG SCH Calc",'Pivot Table for Fact Book'!$A$3,"State","WV","type",9,"Type2","Two-Year")</f>
        <v>0</v>
      </c>
      <c r="X20" s="314">
        <f>GETPIVOTDATA("Sum of OLD-Tot UG SCH Calc",'Pivot Table for Fact Book'!$A$3,"State","WV","type",10,"Type2","Two-Year")</f>
        <v>311555</v>
      </c>
      <c r="Y20" s="314">
        <f>GETPIVOTDATA("Sum of NEW-Tot UG SCH Calc",'Pivot Table for Fact Book'!$A$3,"State","WV","type",10,"Type2","Two-Year")</f>
        <v>292771</v>
      </c>
      <c r="Z20" s="316">
        <f>GETPIVOTDATA("Sum of OLD-Tot UG SCH Calc",'Pivot Table for Fact Book'!$A$3,"State","WV","Type2","Two-Year")</f>
        <v>404052</v>
      </c>
      <c r="AA20" s="316">
        <f>GETPIVOTDATA("Sum of NEW-Tot UG SCH Calc",'Pivot Table for Fact Book'!$A$3,"State","WV","Type2","Two-Year")</f>
        <v>383899</v>
      </c>
      <c r="AB20" s="313">
        <f>+GETPIVOTDATA("Sum of OLD-Tot UG SCH Calc",'Pivot Table for Fact Book'!$A$3,"State","WV","type",12,"type2","Techncial")</f>
        <v>0</v>
      </c>
      <c r="AC20" s="314">
        <f>+GETPIVOTDATA("Sum of NEW-Tot UG SCH Calc",'Pivot Table for Fact Book'!$A$3,"State","WV","type",12,"type2","Techncial")</f>
        <v>0</v>
      </c>
      <c r="AD20" s="313">
        <f>+GETPIVOTDATA("Sum of OLD-Tot UG SCH Calc",'Pivot Table for Fact Book'!$A$3,"State","WV","type",13,"type2","Techncial")</f>
        <v>0</v>
      </c>
      <c r="AE20" s="314">
        <f>+GETPIVOTDATA("Sum of NEW-Tot UG SCH Calc",'Pivot Table for Fact Book'!$A$3,"State","WV","type",13,"type2","Techncial")</f>
        <v>0</v>
      </c>
      <c r="AF20" s="317">
        <f>+GETPIVOTDATA("Sum of OLD-Tot UG SCH Calc",'Pivot Table for Fact Book'!$A$3,"State","WV","type2","Techncial")</f>
        <v>0</v>
      </c>
      <c r="AG20" s="318">
        <f>+GETPIVOTDATA("Sum of NEW-Tot UG SCH Calc",'Pivot Table for Fact Book'!$A$3,"State","WV","type2","Techncial")</f>
        <v>0</v>
      </c>
    </row>
    <row r="22" spans="1:33">
      <c r="A22" s="319" t="s">
        <v>901</v>
      </c>
    </row>
    <row r="23" spans="1:33">
      <c r="B23" s="321" t="s">
        <v>881</v>
      </c>
      <c r="C23" s="322"/>
      <c r="D23" s="322"/>
      <c r="E23" s="322"/>
      <c r="F23" s="322"/>
      <c r="G23" s="322"/>
      <c r="H23" s="322"/>
      <c r="I23" s="322"/>
      <c r="J23" s="322"/>
      <c r="K23" s="322"/>
      <c r="L23" s="322"/>
      <c r="M23" s="322"/>
      <c r="N23" s="322"/>
      <c r="O23" s="322"/>
      <c r="P23" s="322"/>
      <c r="Q23" s="322"/>
      <c r="R23" s="323" t="s">
        <v>882</v>
      </c>
      <c r="S23" s="324"/>
      <c r="T23" s="324"/>
      <c r="U23" s="324"/>
      <c r="V23" s="324"/>
      <c r="W23" s="324"/>
      <c r="X23" s="324"/>
      <c r="Y23" s="324"/>
      <c r="Z23" s="324"/>
      <c r="AA23" s="324"/>
      <c r="AB23" s="325" t="s">
        <v>883</v>
      </c>
      <c r="AC23" s="326"/>
      <c r="AD23" s="326"/>
      <c r="AE23" s="326"/>
      <c r="AF23" s="326"/>
      <c r="AG23" s="326"/>
    </row>
    <row r="24" spans="1:33">
      <c r="B24" s="327">
        <v>1</v>
      </c>
      <c r="C24" s="328"/>
      <c r="D24" s="327">
        <v>2</v>
      </c>
      <c r="E24" s="328"/>
      <c r="F24" s="327">
        <v>3</v>
      </c>
      <c r="G24" s="328"/>
      <c r="H24" s="327">
        <v>4</v>
      </c>
      <c r="I24" s="328"/>
      <c r="J24" s="327">
        <v>5</v>
      </c>
      <c r="K24" s="328"/>
      <c r="L24" s="327">
        <v>6</v>
      </c>
      <c r="M24" s="328"/>
      <c r="N24" s="327">
        <v>15</v>
      </c>
      <c r="O24" s="328"/>
      <c r="P24" s="327" t="s">
        <v>884</v>
      </c>
      <c r="Q24" s="329"/>
      <c r="R24" s="330">
        <v>7</v>
      </c>
      <c r="S24" s="331"/>
      <c r="T24" s="330">
        <v>8</v>
      </c>
      <c r="U24" s="331"/>
      <c r="V24" s="330">
        <v>9</v>
      </c>
      <c r="W24" s="331"/>
      <c r="X24" s="330">
        <v>10</v>
      </c>
      <c r="Y24" s="331"/>
      <c r="Z24" s="330" t="s">
        <v>884</v>
      </c>
      <c r="AA24" s="331"/>
      <c r="AB24" s="332">
        <v>12</v>
      </c>
      <c r="AC24" s="333"/>
      <c r="AD24" s="332">
        <v>13</v>
      </c>
      <c r="AE24" s="333"/>
      <c r="AF24" s="332" t="s">
        <v>884</v>
      </c>
      <c r="AG24" s="333"/>
    </row>
    <row r="25" spans="1:33" s="343" customFormat="1">
      <c r="A25" s="342"/>
      <c r="B25" s="335">
        <v>2014</v>
      </c>
      <c r="C25" s="336">
        <v>2015</v>
      </c>
      <c r="D25" s="335">
        <v>2014</v>
      </c>
      <c r="E25" s="336">
        <v>2015</v>
      </c>
      <c r="F25" s="335">
        <v>2014</v>
      </c>
      <c r="G25" s="336">
        <v>2015</v>
      </c>
      <c r="H25" s="335">
        <v>2014</v>
      </c>
      <c r="I25" s="336">
        <v>2015</v>
      </c>
      <c r="J25" s="335">
        <v>2014</v>
      </c>
      <c r="K25" s="336">
        <v>2015</v>
      </c>
      <c r="L25" s="335">
        <v>2014</v>
      </c>
      <c r="M25" s="336">
        <v>2015</v>
      </c>
      <c r="N25" s="335">
        <v>2014</v>
      </c>
      <c r="O25" s="336">
        <v>2015</v>
      </c>
      <c r="P25" s="335">
        <v>2014</v>
      </c>
      <c r="Q25" s="336">
        <v>2015</v>
      </c>
      <c r="R25" s="337">
        <v>2014</v>
      </c>
      <c r="S25" s="338">
        <v>2015</v>
      </c>
      <c r="T25" s="337">
        <v>2014</v>
      </c>
      <c r="U25" s="338">
        <v>2015</v>
      </c>
      <c r="V25" s="337">
        <v>2014</v>
      </c>
      <c r="W25" s="338">
        <v>2015</v>
      </c>
      <c r="X25" s="337">
        <v>2014</v>
      </c>
      <c r="Y25" s="338">
        <v>2015</v>
      </c>
      <c r="Z25" s="337">
        <v>2014</v>
      </c>
      <c r="AA25" s="338">
        <v>2015</v>
      </c>
      <c r="AB25" s="337">
        <v>2014</v>
      </c>
      <c r="AC25" s="339">
        <v>2015</v>
      </c>
      <c r="AD25" s="337">
        <v>2014</v>
      </c>
      <c r="AE25" s="339">
        <v>2015</v>
      </c>
      <c r="AF25" s="337">
        <v>2014</v>
      </c>
      <c r="AG25" s="339">
        <v>2015</v>
      </c>
    </row>
    <row r="26" spans="1:33">
      <c r="A26" s="320" t="s">
        <v>885</v>
      </c>
      <c r="B26" s="307">
        <f>GETPIVOTDATA("Sum of Old UG E-Learning",'Pivot Table for Fact Book'!$A$3,"State","AL","type",1,"Type2","Four-Year")</f>
        <v>119258</v>
      </c>
      <c r="C26" s="308">
        <f>GETPIVOTDATA("Sum of New UG E-Learning",'Pivot Table for Fact Book'!$A$3,"State","AL","type",1,"Type2","Four-Year")</f>
        <v>134436</v>
      </c>
      <c r="D26" s="307">
        <f>GETPIVOTDATA("Sum of Old UG E-Learning",'Pivot Table for Fact Book'!$A$3,"State","AL","type",2,"Type2","Four-Year")</f>
        <v>78369</v>
      </c>
      <c r="E26" s="308">
        <f>GETPIVOTDATA("Sum of New UG E-Learning",'Pivot Table for Fact Book'!$A$3,"State","AL","type",2,"Type2","Four-Year")</f>
        <v>96194</v>
      </c>
      <c r="F26" s="307">
        <f>GETPIVOTDATA("Sum of Old UG E-Learning",'Pivot Table for Fact Book'!$A$3,"State","AL","type",3,"Type2","Four-Year")</f>
        <v>181877</v>
      </c>
      <c r="G26" s="308">
        <f>GETPIVOTDATA("Sum of New UG E-Learning",'Pivot Table for Fact Book'!$A$3,"State","AL","type",3,"Type2","Four-Year")</f>
        <v>198883</v>
      </c>
      <c r="H26" s="307">
        <f>GETPIVOTDATA("Sum of Old UG E-Learning",'Pivot Table for Fact Book'!$A$3,"State","AL","type",4,"Type2","Four-Year")</f>
        <v>35627</v>
      </c>
      <c r="I26" s="308">
        <f>GETPIVOTDATA("Sum of New UG E-Learning",'Pivot Table for Fact Book'!$A$3,"State","AL","type",4,"Type2","Four-Year")</f>
        <v>42039</v>
      </c>
      <c r="J26" s="307">
        <f>GETPIVOTDATA("Sum of Old UG E-Learning",'Pivot Table for Fact Book'!$A$3,"State","AL","type",5,"Type2","Four-Year")</f>
        <v>9621</v>
      </c>
      <c r="K26" s="308">
        <f>GETPIVOTDATA("Sum of New UG E-Learning",'Pivot Table for Fact Book'!$A$3,"State","AL","type",5,"Type2","Four-Year")</f>
        <v>12452</v>
      </c>
      <c r="L26" s="307">
        <f>GETPIVOTDATA("Sum of Old UG E-Learning",'Pivot Table for Fact Book'!$A$3,"State","AL","type",6,"Type2","Four-Year")</f>
        <v>52366</v>
      </c>
      <c r="M26" s="308">
        <f>GETPIVOTDATA("Sum of New UG E-Learning",'Pivot Table for Fact Book'!$A$3,"State","AL","type",6,"Type2","Four-Year")</f>
        <v>51676</v>
      </c>
      <c r="N26" s="307">
        <f>GETPIVOTDATA("Sum of Old UG E-Learning",'Pivot Table for Fact Book'!$A$3,"State","AL","type",15,"Type2","Four-Year")</f>
        <v>0</v>
      </c>
      <c r="O26" s="308">
        <f>GETPIVOTDATA("Sum of New UG E-Learning",'Pivot Table for Fact Book'!$A$3,"State","AL","type",15,"Type2","Four-Year")</f>
        <v>103</v>
      </c>
      <c r="P26" s="309">
        <f>GETPIVOTDATA("Sum of Old UG E-Learning",'Pivot Table for Fact Book'!$A$3,"State","AL","Type2","Four-Year")</f>
        <v>477118</v>
      </c>
      <c r="Q26" s="309">
        <f>GETPIVOTDATA("Sum of New UG E-Learning",'Pivot Table for Fact Book'!$A$3,"State","AL","Type2","Four-Year")</f>
        <v>535783</v>
      </c>
      <c r="R26" s="307">
        <f>GETPIVOTDATA("Sum of Old UG E-Learning",'Pivot Table for Fact Book'!$A$3,"State","AL","type",7,"Type2","Two-Year")</f>
        <v>0</v>
      </c>
      <c r="S26" s="308">
        <f>GETPIVOTDATA("Sum of New UG E-Learning",'Pivot Table for Fact Book'!$A$3,"State","AL","type",7,"Type2","Two-Year")</f>
        <v>0</v>
      </c>
      <c r="T26" s="308">
        <f>GETPIVOTDATA("Sum of Old UG E-Learning",'Pivot Table for Fact Book'!$A$3,"State","AL","type",8,"Type2","Two-Year")</f>
        <v>120150</v>
      </c>
      <c r="U26" s="308">
        <f>GETPIVOTDATA("Sum of New UG E-Learning",'Pivot Table for Fact Book'!$A$3,"State","AL","type",8,"Type2","Two-Year")</f>
        <v>125428</v>
      </c>
      <c r="V26" s="308">
        <f>GETPIVOTDATA("Sum of Old UG E-Learning",'Pivot Table for Fact Book'!$A$3,"State","AL","type",9,"Type2","Two-Year")</f>
        <v>199822</v>
      </c>
      <c r="W26" s="308">
        <f>GETPIVOTDATA("Sum of New UG E-Learning",'Pivot Table for Fact Book'!$A$3,"State","AL","type",9,"Type2","Two-Year")</f>
        <v>199912</v>
      </c>
      <c r="X26" s="308">
        <f>GETPIVOTDATA("Sum of Old UG E-Learning",'Pivot Table for Fact Book'!$A$3,"State","AL","type",10,"Type2","Two-Year")</f>
        <v>104647</v>
      </c>
      <c r="Y26" s="308">
        <f>GETPIVOTDATA("Sum of New UG E-Learning",'Pivot Table for Fact Book'!$A$3,"State","AL","type",10,"Type2","Two-Year")</f>
        <v>118013</v>
      </c>
      <c r="Z26" s="310">
        <f>GETPIVOTDATA("Sum of Old UG E-Learning",'Pivot Table for Fact Book'!$A$3,"State","AL","Type2","Two-Year")</f>
        <v>424619</v>
      </c>
      <c r="AA26" s="310">
        <f>GETPIVOTDATA("Sum of New UG E-Learning",'Pivot Table for Fact Book'!$A$3,"State","AL","Type2","Two-Year")</f>
        <v>443353</v>
      </c>
      <c r="AB26" s="307">
        <f>+GETPIVOTDATA("Sum of Old UG E-Learning",'Pivot Table for Fact Book'!$A$3,"State","AL","type",12,"type2","Techncial")</f>
        <v>3328</v>
      </c>
      <c r="AC26" s="308">
        <f>+GETPIVOTDATA("Sum of New UG E-Learning",'Pivot Table for Fact Book'!$A$3,"State","AL","type",12,"type2","Techncial")</f>
        <v>3318</v>
      </c>
      <c r="AD26" s="308">
        <f>+GETPIVOTDATA("Sum of Old UG E-Learning",'Pivot Table for Fact Book'!$A$3,"State","AL","type",13,"type2","Techncial")</f>
        <v>6462</v>
      </c>
      <c r="AE26" s="308">
        <f>+GETPIVOTDATA("Sum of New UG E-Learning",'Pivot Table for Fact Book'!$A$3,"State","AL","type",13,"type2","Techncial")</f>
        <v>6347</v>
      </c>
      <c r="AF26" s="312">
        <f>+GETPIVOTDATA("Sum of Old UG E-Learning",'Pivot Table for Fact Book'!$A$3,"State","AL","type2","Techncial")</f>
        <v>9790</v>
      </c>
      <c r="AG26" s="312">
        <f>+GETPIVOTDATA("Sum of New UG E-Learning",'Pivot Table for Fact Book'!$A$3,"State","AL","type2","Techncial")</f>
        <v>9665</v>
      </c>
    </row>
    <row r="27" spans="1:33">
      <c r="A27" s="320" t="s">
        <v>886</v>
      </c>
      <c r="B27" s="307">
        <f>GETPIVOTDATA("Sum of Old UG E-Learning",'Pivot Table for Fact Book'!$A$3,"State","AR","type",1,"Type2","Four-Year")</f>
        <v>52824</v>
      </c>
      <c r="C27" s="308">
        <f>GETPIVOTDATA("Sum of New UG E-Learning",'Pivot Table for Fact Book'!$A$3,"State","AR","type",1,"Type2","Four-Year")</f>
        <v>56173</v>
      </c>
      <c r="D27" s="307">
        <f>GETPIVOTDATA("Sum of Old UG E-Learning",'Pivot Table for Fact Book'!$A$3,"State","AR","type",2,"Type2","Four-Year")</f>
        <v>68378</v>
      </c>
      <c r="E27" s="308">
        <f>GETPIVOTDATA("Sum of New UG E-Learning",'Pivot Table for Fact Book'!$A$3,"State","AR","type",2,"Type2","Four-Year")</f>
        <v>72114</v>
      </c>
      <c r="F27" s="307">
        <f>GETPIVOTDATA("Sum of Old UG E-Learning",'Pivot Table for Fact Book'!$A$3,"State","AR","type",3,"Type2","Four-Year")</f>
        <v>161528</v>
      </c>
      <c r="G27" s="308">
        <f>GETPIVOTDATA("Sum of New UG E-Learning",'Pivot Table for Fact Book'!$A$3,"State","AR","type",3,"Type2","Four-Year")</f>
        <v>164573</v>
      </c>
      <c r="H27" s="307">
        <f>GETPIVOTDATA("Sum of Old UG E-Learning",'Pivot Table for Fact Book'!$A$3,"State","AR","type",4,"Type2","Four-Year")</f>
        <v>31137</v>
      </c>
      <c r="I27" s="308">
        <f>GETPIVOTDATA("Sum of New UG E-Learning",'Pivot Table for Fact Book'!$A$3,"State","AR","type",4,"Type2","Four-Year")</f>
        <v>32853</v>
      </c>
      <c r="J27" s="307">
        <f>GETPIVOTDATA("Sum of Old UG E-Learning",'Pivot Table for Fact Book'!$A$3,"State","AR","type",5,"Type2","Four-Year")</f>
        <v>17702</v>
      </c>
      <c r="K27" s="308">
        <f>GETPIVOTDATA("Sum of New UG E-Learning",'Pivot Table for Fact Book'!$A$3,"State","AR","type",5,"Type2","Four-Year")</f>
        <v>17537</v>
      </c>
      <c r="L27" s="307">
        <f>GETPIVOTDATA("Sum of Old UG E-Learning",'Pivot Table for Fact Book'!$A$3,"State","AR","type",6,"Type2","Four-Year")</f>
        <v>44829</v>
      </c>
      <c r="M27" s="308">
        <f>GETPIVOTDATA("Sum of New UG E-Learning",'Pivot Table for Fact Book'!$A$3,"State","AR","type",6,"Type2","Four-Year")</f>
        <v>51358</v>
      </c>
      <c r="N27" s="307">
        <f>GETPIVOTDATA("Sum of Old UG E-Learning",'Pivot Table for Fact Book'!$A$3,"State","AR","type",15,"Type2","Four-Year")</f>
        <v>2528</v>
      </c>
      <c r="O27" s="308">
        <f>GETPIVOTDATA("Sum of New UG E-Learning",'Pivot Table for Fact Book'!$A$3,"State","AR","type",15,"Type2","Four-Year")</f>
        <v>5272</v>
      </c>
      <c r="P27" s="309">
        <f>GETPIVOTDATA("Sum of Old UG E-Learning",'Pivot Table for Fact Book'!$A$3,"State","AR","Type2","Four-Year")</f>
        <v>378926</v>
      </c>
      <c r="Q27" s="309">
        <f>GETPIVOTDATA("Sum of New UG E-Learning",'Pivot Table for Fact Book'!$A$3,"State","AR","Type2","Four-Year")</f>
        <v>399880</v>
      </c>
      <c r="R27" s="307">
        <f>GETPIVOTDATA("Sum of Old UG E-Learning",'Pivot Table for Fact Book'!$A$3,"State","AR","type",7,"Type2","Two-Year")</f>
        <v>0</v>
      </c>
      <c r="S27" s="308">
        <f>GETPIVOTDATA("Sum of New UG E-Learning",'Pivot Table for Fact Book'!$A$3,"State","AR","type",7,"Type2","Two-Year")</f>
        <v>0</v>
      </c>
      <c r="T27" s="308">
        <f>GETPIVOTDATA("Sum of Old UG E-Learning",'Pivot Table for Fact Book'!$A$3,"State","AR","type",8,"Type2","Two-Year")</f>
        <v>91584</v>
      </c>
      <c r="U27" s="308">
        <f>GETPIVOTDATA("Sum of New UG E-Learning",'Pivot Table for Fact Book'!$A$3,"State","AR","type",8,"Type2","Two-Year")</f>
        <v>84086</v>
      </c>
      <c r="V27" s="308">
        <f>GETPIVOTDATA("Sum of Old UG E-Learning",'Pivot Table for Fact Book'!$A$3,"State","AR","type",9,"Type2","Two-Year")</f>
        <v>20045</v>
      </c>
      <c r="W27" s="308">
        <f>GETPIVOTDATA("Sum of New UG E-Learning",'Pivot Table for Fact Book'!$A$3,"State","AR","type",9,"Type2","Two-Year")</f>
        <v>20793</v>
      </c>
      <c r="X27" s="308">
        <f>GETPIVOTDATA("Sum of Old UG E-Learning",'Pivot Table for Fact Book'!$A$3,"State","AR","type",10,"Type2","Two-Year")</f>
        <v>156150</v>
      </c>
      <c r="Y27" s="308">
        <f>GETPIVOTDATA("Sum of New UG E-Learning",'Pivot Table for Fact Book'!$A$3,"State","AR","type",10,"Type2","Two-Year")</f>
        <v>153951</v>
      </c>
      <c r="Z27" s="310">
        <f>GETPIVOTDATA("Sum of Old UG E-Learning",'Pivot Table for Fact Book'!$A$3,"State","AR","Type2","Two-Year")</f>
        <v>267779</v>
      </c>
      <c r="AA27" s="310">
        <f>GETPIVOTDATA("Sum of New UG E-Learning",'Pivot Table for Fact Book'!$A$3,"State","AR","Type2","Two-Year")</f>
        <v>258830</v>
      </c>
      <c r="AB27" s="307">
        <f>+GETPIVOTDATA("Sum of Old UG E-Learning",'Pivot Table for Fact Book'!$A$3,"State","AR","type",12,"type2","Techncial")</f>
        <v>0</v>
      </c>
      <c r="AC27" s="308">
        <f>+GETPIVOTDATA("Sum of New UG E-Learning",'Pivot Table for Fact Book'!$A$3,"State","AR","type",12,"type2","Techncial")</f>
        <v>0</v>
      </c>
      <c r="AD27" s="308">
        <f>+GETPIVOTDATA("Sum of Old UG E-Learning",'Pivot Table for Fact Book'!$A$3,"State","AR","type",13,"type2","Techncial")</f>
        <v>0</v>
      </c>
      <c r="AE27" s="308">
        <f>+GETPIVOTDATA("Sum of New UG E-Learning",'Pivot Table for Fact Book'!$A$3,"State","AR","type",13,"type2","Techncial")</f>
        <v>0</v>
      </c>
      <c r="AF27" s="312">
        <f>+GETPIVOTDATA("Sum of Old UG E-Learning",'Pivot Table for Fact Book'!$A$3,"State","AR","type2","Techncial")</f>
        <v>0</v>
      </c>
      <c r="AG27" s="312">
        <f>+GETPIVOTDATA("Sum of New UG E-Learning",'Pivot Table for Fact Book'!$A$3,"State","AR","type2","Techncial")</f>
        <v>0</v>
      </c>
    </row>
    <row r="28" spans="1:33">
      <c r="A28" s="320" t="s">
        <v>887</v>
      </c>
      <c r="B28" s="307">
        <f>GETPIVOTDATA("Sum of Old UG E-Learning",'Pivot Table for Fact Book'!$A$3,"State","DE","type",1,"Type2","Four-Year")</f>
        <v>19693</v>
      </c>
      <c r="C28" s="308">
        <f>GETPIVOTDATA("Sum of New UG E-Learning",'Pivot Table for Fact Book'!$A$3,"State","DE","type",1,"Type2","Four-Year")</f>
        <v>21024</v>
      </c>
      <c r="D28" s="307">
        <f>GETPIVOTDATA("Sum of Old UG E-Learning",'Pivot Table for Fact Book'!$A$3,"State","DE","type",2,"Type2","Four-Year")</f>
        <v>0</v>
      </c>
      <c r="E28" s="308">
        <f>GETPIVOTDATA("Sum of New UG E-Learning",'Pivot Table for Fact Book'!$A$3,"State","DE","type",2,"Type2","Four-Year")</f>
        <v>0</v>
      </c>
      <c r="F28" s="307">
        <f>GETPIVOTDATA("Sum of Old UG E-Learning",'Pivot Table for Fact Book'!$A$3,"State","DE","type",3,"Type2","Four-Year")</f>
        <v>5162</v>
      </c>
      <c r="G28" s="308">
        <f>GETPIVOTDATA("Sum of New UG E-Learning",'Pivot Table for Fact Book'!$A$3,"State","DE","type",3,"Type2","Four-Year")</f>
        <v>6392</v>
      </c>
      <c r="H28" s="307">
        <f>GETPIVOTDATA("Sum of Old UG E-Learning",'Pivot Table for Fact Book'!$A$3,"State","DE","type",4,"Type2","Four-Year")</f>
        <v>0</v>
      </c>
      <c r="I28" s="308">
        <f>GETPIVOTDATA("Sum of New UG E-Learning",'Pivot Table for Fact Book'!$A$3,"State","DE","type",4,"Type2","Four-Year")</f>
        <v>0</v>
      </c>
      <c r="J28" s="307">
        <f>GETPIVOTDATA("Sum of Old UG E-Learning",'Pivot Table for Fact Book'!$A$3,"State","DE","type",5,"Type2","Four-Year")</f>
        <v>0</v>
      </c>
      <c r="K28" s="308">
        <f>GETPIVOTDATA("Sum of New UG E-Learning",'Pivot Table for Fact Book'!$A$3,"State","DE","type",5,"Type2","Four-Year")</f>
        <v>0</v>
      </c>
      <c r="L28" s="307">
        <f>GETPIVOTDATA("Sum of Old UG E-Learning",'Pivot Table for Fact Book'!$A$3,"State","DE","type",6,"Type2","Four-Year")</f>
        <v>0</v>
      </c>
      <c r="M28" s="308">
        <f>GETPIVOTDATA("Sum of New UG E-Learning",'Pivot Table for Fact Book'!$A$3,"State","DE","type",6,"Type2","Four-Year")</f>
        <v>0</v>
      </c>
      <c r="N28" s="307">
        <f>GETPIVOTDATA("Sum of Old UG E-Learning",'Pivot Table for Fact Book'!$A$3,"State","DE","type",15,"Type2","Four-Year")</f>
        <v>0</v>
      </c>
      <c r="O28" s="308">
        <f>GETPIVOTDATA("Sum of New UG E-Learning",'Pivot Table for Fact Book'!$A$3,"State","DE","type",15,"Type2","Four-Year")</f>
        <v>0</v>
      </c>
      <c r="P28" s="309">
        <f>GETPIVOTDATA("Sum of Old UG E-Learning",'Pivot Table for Fact Book'!$A$3,"State","DE","Type2","Four-Year")</f>
        <v>24855</v>
      </c>
      <c r="Q28" s="309">
        <f>GETPIVOTDATA("Sum of New UG E-Learning",'Pivot Table for Fact Book'!$A$3,"State","DE","Type2","Four-Year")</f>
        <v>27416</v>
      </c>
      <c r="R28" s="307">
        <f>GETPIVOTDATA("Sum of Old UG E-Learning",'Pivot Table for Fact Book'!$A$3,"State","DE","type",7,"Type2","Two-Year")</f>
        <v>0</v>
      </c>
      <c r="S28" s="308">
        <f>GETPIVOTDATA("Sum of New UG E-Learning",'Pivot Table for Fact Book'!$A$3,"State","DE","type",7,"Type2","Two-Year")</f>
        <v>0</v>
      </c>
      <c r="T28" s="308">
        <f>GETPIVOTDATA("Sum of Old UG E-Learning",'Pivot Table for Fact Book'!$A$3,"State","DE","type",8,"Type2","Two-Year")</f>
        <v>0</v>
      </c>
      <c r="U28" s="308">
        <f>GETPIVOTDATA("Sum of New UG E-Learning",'Pivot Table for Fact Book'!$A$3,"State","DE","type",8,"Type2","Two-Year")</f>
        <v>0</v>
      </c>
      <c r="V28" s="308">
        <f>GETPIVOTDATA("Sum of Old UG E-Learning",'Pivot Table for Fact Book'!$A$3,"State","DE","type",9,"Type2","Two-Year")</f>
        <v>38494</v>
      </c>
      <c r="W28" s="308">
        <f>GETPIVOTDATA("Sum of New UG E-Learning",'Pivot Table for Fact Book'!$A$3,"State","DE","type",9,"Type2","Two-Year")</f>
        <v>44466</v>
      </c>
      <c r="X28" s="308">
        <f>GETPIVOTDATA("Sum of Old UG E-Learning",'Pivot Table for Fact Book'!$A$3,"State","DE","type",10,"Type2","Two-Year")</f>
        <v>0</v>
      </c>
      <c r="Y28" s="308">
        <f>GETPIVOTDATA("Sum of New UG E-Learning",'Pivot Table for Fact Book'!$A$3,"State","DE","type",10,"Type2","Two-Year")</f>
        <v>0</v>
      </c>
      <c r="Z28" s="310">
        <f>GETPIVOTDATA("Sum of Old UG E-Learning",'Pivot Table for Fact Book'!$A$3,"State","DE","Type2","Two-Year")</f>
        <v>38494</v>
      </c>
      <c r="AA28" s="310">
        <f>GETPIVOTDATA("Sum of New UG E-Learning",'Pivot Table for Fact Book'!$A$3,"State","DE","Type2","Two-Year")</f>
        <v>44466</v>
      </c>
      <c r="AB28" s="307">
        <f>+GETPIVOTDATA("Sum of Old UG E-Learning",'Pivot Table for Fact Book'!$A$3,"State","DE","type",12,"type2","Techncial")</f>
        <v>0</v>
      </c>
      <c r="AC28" s="308">
        <f>+GETPIVOTDATA("Sum of New UG E-Learning",'Pivot Table for Fact Book'!$A$3,"State","DE","type",12,"type2","Techncial")</f>
        <v>0</v>
      </c>
      <c r="AD28" s="308">
        <f>+GETPIVOTDATA("Sum of Old UG E-Learning",'Pivot Table for Fact Book'!$A$3,"State","DE","type",13,"type2","Techncial")</f>
        <v>0</v>
      </c>
      <c r="AE28" s="308">
        <f>+GETPIVOTDATA("Sum of New UG E-Learning",'Pivot Table for Fact Book'!$A$3,"State","DE","type",13,"type2","Techncial")</f>
        <v>0</v>
      </c>
      <c r="AF28" s="312">
        <f>+GETPIVOTDATA("Sum of Old UG E-Learning",'Pivot Table for Fact Book'!$A$3,"State","DE","type2","Techncial")</f>
        <v>0</v>
      </c>
      <c r="AG28" s="312">
        <f>+GETPIVOTDATA("Sum of New UG E-Learning",'Pivot Table for Fact Book'!$A$3,"State","DE","type2","Techncial")</f>
        <v>0</v>
      </c>
    </row>
    <row r="29" spans="1:33">
      <c r="A29" s="320" t="s">
        <v>888</v>
      </c>
      <c r="B29" s="307">
        <f>GETPIVOTDATA("Sum of Old UG E-Learning",'Pivot Table for Fact Book'!$A$3,"State","FL","type",1,"Type2","Four-Year")</f>
        <v>0</v>
      </c>
      <c r="C29" s="308">
        <f>GETPIVOTDATA("Sum of New UG E-Learning",'Pivot Table for Fact Book'!$A$3,"State","FL","type",1,"Type2","Four-Year")</f>
        <v>0</v>
      </c>
      <c r="D29" s="307">
        <f>GETPIVOTDATA("Sum of Old UG E-Learning",'Pivot Table for Fact Book'!$A$3,"State","FL","type",2,"Type2","Four-Year")</f>
        <v>0</v>
      </c>
      <c r="E29" s="308">
        <f>GETPIVOTDATA("Sum of New UG E-Learning",'Pivot Table for Fact Book'!$A$3,"State","FL","type",2,"Type2","Four-Year")</f>
        <v>0</v>
      </c>
      <c r="F29" s="307">
        <f>GETPIVOTDATA("Sum of Old UG E-Learning",'Pivot Table for Fact Book'!$A$3,"State","FL","type",3,"Type2","Four-Year")</f>
        <v>0</v>
      </c>
      <c r="G29" s="308">
        <f>GETPIVOTDATA("Sum of New UG E-Learning",'Pivot Table for Fact Book'!$A$3,"State","FL","type",3,"Type2","Four-Year")</f>
        <v>0</v>
      </c>
      <c r="H29" s="307">
        <f>GETPIVOTDATA("Sum of Old UG E-Learning",'Pivot Table for Fact Book'!$A$3,"State","FL","type",4,"Type2","Four-Year")</f>
        <v>0</v>
      </c>
      <c r="I29" s="308">
        <f>GETPIVOTDATA("Sum of New UG E-Learning",'Pivot Table for Fact Book'!$A$3,"State","FL","type",4,"Type2","Four-Year")</f>
        <v>0</v>
      </c>
      <c r="J29" s="307">
        <f>GETPIVOTDATA("Sum of Old UG E-Learning",'Pivot Table for Fact Book'!$A$3,"State","FL","type",5,"Type2","Four-Year")</f>
        <v>0</v>
      </c>
      <c r="K29" s="308">
        <f>GETPIVOTDATA("Sum of New UG E-Learning",'Pivot Table for Fact Book'!$A$3,"State","FL","type",5,"Type2","Four-Year")</f>
        <v>0</v>
      </c>
      <c r="L29" s="307">
        <f>GETPIVOTDATA("Sum of Old UG E-Learning",'Pivot Table for Fact Book'!$A$3,"State","FL","type",6,"Type2","Four-Year")</f>
        <v>0</v>
      </c>
      <c r="M29" s="308">
        <f>GETPIVOTDATA("Sum of New UG E-Learning",'Pivot Table for Fact Book'!$A$3,"State","FL","type",6,"Type2","Four-Year")</f>
        <v>0</v>
      </c>
      <c r="N29" s="307">
        <f>GETPIVOTDATA("Sum of Old UG E-Learning",'Pivot Table for Fact Book'!$A$3,"State","FL","type",15,"Type2","Four-Year")</f>
        <v>0</v>
      </c>
      <c r="O29" s="308">
        <f>GETPIVOTDATA("Sum of New UG E-Learning",'Pivot Table for Fact Book'!$A$3,"State","FL","type",15,"Type2","Four-Year")</f>
        <v>0</v>
      </c>
      <c r="P29" s="309">
        <f>GETPIVOTDATA("Sum of Old UG E-Learning",'Pivot Table for Fact Book'!$A$3,"State","FL","Type2","Four-Year")</f>
        <v>0</v>
      </c>
      <c r="Q29" s="309">
        <f>GETPIVOTDATA("Sum of New UG E-Learning",'Pivot Table for Fact Book'!$A$3,"State","FL","Type2","Four-Year")</f>
        <v>0</v>
      </c>
      <c r="R29" s="307">
        <f>GETPIVOTDATA("Sum of Old UG E-Learning",'Pivot Table for Fact Book'!$A$3,"State","FL","type",7,"Type2","Two-Year")</f>
        <v>1994843</v>
      </c>
      <c r="S29" s="308">
        <f>GETPIVOTDATA("Sum of New UG E-Learning",'Pivot Table for Fact Book'!$A$3,"State","FL","type",7,"Type2","Two-Year")</f>
        <v>2098712</v>
      </c>
      <c r="T29" s="308">
        <f>GETPIVOTDATA("Sum of Old UG E-Learning",'Pivot Table for Fact Book'!$A$3,"State","FL","type",8,"Type2","Two-Year")</f>
        <v>258521</v>
      </c>
      <c r="U29" s="308">
        <f>GETPIVOTDATA("Sum of New UG E-Learning",'Pivot Table for Fact Book'!$A$3,"State","FL","type",8,"Type2","Two-Year")</f>
        <v>277509</v>
      </c>
      <c r="V29" s="308">
        <f>GETPIVOTDATA("Sum of Old UG E-Learning",'Pivot Table for Fact Book'!$A$3,"State","FL","type",9,"Type2","Two-Year")</f>
        <v>0</v>
      </c>
      <c r="W29" s="308">
        <f>GETPIVOTDATA("Sum of New UG E-Learning",'Pivot Table for Fact Book'!$A$3,"State","FL","type",9,"Type2","Two-Year")</f>
        <v>0</v>
      </c>
      <c r="X29" s="308">
        <f>GETPIVOTDATA("Sum of Old UG E-Learning",'Pivot Table for Fact Book'!$A$3,"State","FL","type",10,"Type2","Two-Year")</f>
        <v>10797</v>
      </c>
      <c r="Y29" s="308">
        <f>GETPIVOTDATA("Sum of New UG E-Learning",'Pivot Table for Fact Book'!$A$3,"State","FL","type",10,"Type2","Two-Year")</f>
        <v>12269</v>
      </c>
      <c r="Z29" s="310">
        <f>GETPIVOTDATA("Sum of Old UG E-Learning",'Pivot Table for Fact Book'!$A$3,"State","FL","Type2","Two-Year")</f>
        <v>2264161</v>
      </c>
      <c r="AA29" s="310">
        <f>GETPIVOTDATA("Sum of New UG E-Learning",'Pivot Table for Fact Book'!$A$3,"State","FL","Type2","Two-Year")</f>
        <v>2388490</v>
      </c>
      <c r="AB29" s="307">
        <f>+GETPIVOTDATA("Sum of Old UG E-Learning",'Pivot Table for Fact Book'!$A$3,"State","FL","type",12,"type2","Techncial")</f>
        <v>0</v>
      </c>
      <c r="AC29" s="308">
        <f>+GETPIVOTDATA("Sum of New UG E-Learning",'Pivot Table for Fact Book'!$A$3,"State","FL","type",12,"type2","Techncial")</f>
        <v>0</v>
      </c>
      <c r="AD29" s="308">
        <f>+GETPIVOTDATA("Sum of Old UG E-Learning",'Pivot Table for Fact Book'!$A$3,"State","FL","type",13,"type2","Techncial")</f>
        <v>0</v>
      </c>
      <c r="AE29" s="308">
        <f>+GETPIVOTDATA("Sum of New UG E-Learning",'Pivot Table for Fact Book'!$A$3,"State","FL","type",13,"type2","Techncial")</f>
        <v>0</v>
      </c>
      <c r="AF29" s="312">
        <f>+GETPIVOTDATA("Sum of Old UG E-Learning",'Pivot Table for Fact Book'!$A$3,"State","FL","type2","Techncial")</f>
        <v>0</v>
      </c>
      <c r="AG29" s="312">
        <f>+GETPIVOTDATA("Sum of New UG E-Learning",'Pivot Table for Fact Book'!$A$3,"State","FL","type2","Techncial")</f>
        <v>0</v>
      </c>
    </row>
    <row r="30" spans="1:33">
      <c r="A30" s="320" t="s">
        <v>889</v>
      </c>
      <c r="B30" s="307">
        <f>GETPIVOTDATA("Sum of Old UG E-Learning",'Pivot Table for Fact Book'!$A$3,"State","GA","type",1,"Type2","Four-Year")</f>
        <v>213264</v>
      </c>
      <c r="C30" s="308">
        <f>GETPIVOTDATA("Sum of New UG E-Learning",'Pivot Table for Fact Book'!$A$3,"State","GA","type",1,"Type2","Four-Year")</f>
        <v>237625</v>
      </c>
      <c r="D30" s="307">
        <f>GETPIVOTDATA("Sum of Old UG E-Learning",'Pivot Table for Fact Book'!$A$3,"State","GA","type",2,"Type2","Four-Year")</f>
        <v>5573</v>
      </c>
      <c r="E30" s="308">
        <f>GETPIVOTDATA("Sum of New UG E-Learning",'Pivot Table for Fact Book'!$A$3,"State","GA","type",2,"Type2","Four-Year")</f>
        <v>6531</v>
      </c>
      <c r="F30" s="307">
        <f>GETPIVOTDATA("Sum of Old UG E-Learning",'Pivot Table for Fact Book'!$A$3,"State","GA","type",3,"Type2","Four-Year")</f>
        <v>385288</v>
      </c>
      <c r="G30" s="308">
        <f>GETPIVOTDATA("Sum of New UG E-Learning",'Pivot Table for Fact Book'!$A$3,"State","GA","type",3,"Type2","Four-Year")</f>
        <v>434564</v>
      </c>
      <c r="H30" s="307">
        <f>GETPIVOTDATA("Sum of Old UG E-Learning",'Pivot Table for Fact Book'!$A$3,"State","GA","type",4,"Type2","Four-Year")</f>
        <v>214593</v>
      </c>
      <c r="I30" s="308">
        <f>GETPIVOTDATA("Sum of New UG E-Learning",'Pivot Table for Fact Book'!$A$3,"State","GA","type",4,"Type2","Four-Year")</f>
        <v>270937</v>
      </c>
      <c r="J30" s="307">
        <f>GETPIVOTDATA("Sum of Old UG E-Learning",'Pivot Table for Fact Book'!$A$3,"State","GA","type",5,"Type2","Four-Year")</f>
        <v>10599</v>
      </c>
      <c r="K30" s="308">
        <f>GETPIVOTDATA("Sum of New UG E-Learning",'Pivot Table for Fact Book'!$A$3,"State","GA","type",5,"Type2","Four-Year")</f>
        <v>11308</v>
      </c>
      <c r="L30" s="307">
        <f>GETPIVOTDATA("Sum of Old UG E-Learning",'Pivot Table for Fact Book'!$A$3,"State","GA","type",6,"Type2","Four-Year")</f>
        <v>80742</v>
      </c>
      <c r="M30" s="308">
        <f>GETPIVOTDATA("Sum of New UG E-Learning",'Pivot Table for Fact Book'!$A$3,"State","GA","type",6,"Type2","Four-Year")</f>
        <v>93622</v>
      </c>
      <c r="N30" s="307">
        <f>GETPIVOTDATA("Sum of Old UG E-Learning",'Pivot Table for Fact Book'!$A$3,"State","GA","type",15,"Type2","Four-Year")</f>
        <v>0</v>
      </c>
      <c r="O30" s="308">
        <f>GETPIVOTDATA("Sum of New UG E-Learning",'Pivot Table for Fact Book'!$A$3,"State","GA","type",15,"Type2","Four-Year")</f>
        <v>0</v>
      </c>
      <c r="P30" s="309">
        <f>GETPIVOTDATA("Sum of Old UG E-Learning",'Pivot Table for Fact Book'!$A$3,"State","GA","Type2","Four-Year")</f>
        <v>910059</v>
      </c>
      <c r="Q30" s="309">
        <f>GETPIVOTDATA("Sum of New UG E-Learning",'Pivot Table for Fact Book'!$A$3,"State","GA","Type2","Four-Year")</f>
        <v>1054587</v>
      </c>
      <c r="R30" s="307">
        <f>GETPIVOTDATA("Sum of Old UG E-Learning",'Pivot Table for Fact Book'!$A$3,"State","GA","type",7,"Type2","Two-Year")</f>
        <v>134111</v>
      </c>
      <c r="S30" s="308">
        <f>GETPIVOTDATA("Sum of New UG E-Learning",'Pivot Table for Fact Book'!$A$3,"State","GA","type",7,"Type2","Two-Year")</f>
        <v>96025</v>
      </c>
      <c r="T30" s="308">
        <f>GETPIVOTDATA("Sum of Old UG E-Learning",'Pivot Table for Fact Book'!$A$3,"State","GA","type",8,"Type2","Two-Year")</f>
        <v>0</v>
      </c>
      <c r="U30" s="308">
        <f>GETPIVOTDATA("Sum of New UG E-Learning",'Pivot Table for Fact Book'!$A$3,"State","GA","type",8,"Type2","Two-Year")</f>
        <v>0</v>
      </c>
      <c r="V30" s="308">
        <f>GETPIVOTDATA("Sum of Old UG E-Learning",'Pivot Table for Fact Book'!$A$3,"State","GA","type",9,"Type2","Two-Year")</f>
        <v>0</v>
      </c>
      <c r="W30" s="308">
        <f>GETPIVOTDATA("Sum of New UG E-Learning",'Pivot Table for Fact Book'!$A$3,"State","GA","type",9,"Type2","Two-Year")</f>
        <v>0</v>
      </c>
      <c r="X30" s="308">
        <f>GETPIVOTDATA("Sum of Old UG E-Learning",'Pivot Table for Fact Book'!$A$3,"State","GA","type",10,"Type2","Two-Year")</f>
        <v>15765</v>
      </c>
      <c r="Y30" s="308">
        <f>GETPIVOTDATA("Sum of New UG E-Learning",'Pivot Table for Fact Book'!$A$3,"State","GA","type",10,"Type2","Two-Year")</f>
        <v>14927</v>
      </c>
      <c r="Z30" s="310">
        <f>GETPIVOTDATA("Sum of Old UG E-Learning",'Pivot Table for Fact Book'!$A$3,"State","GA","Type2","Two-Year")</f>
        <v>149876</v>
      </c>
      <c r="AA30" s="310">
        <f>GETPIVOTDATA("Sum of New UG E-Learning",'Pivot Table for Fact Book'!$A$3,"State","GA","Type2","Two-Year")</f>
        <v>110952</v>
      </c>
      <c r="AB30" s="307">
        <f>+GETPIVOTDATA("Sum of Old UG E-Learning",'Pivot Table for Fact Book'!$A$3,"State","GA","type",12,"type2","Techncial")</f>
        <v>629798</v>
      </c>
      <c r="AC30" s="308">
        <f>+GETPIVOTDATA("Sum of New UG E-Learning",'Pivot Table for Fact Book'!$A$3,"State","GA","type",12,"type2","Techncial")</f>
        <v>661322</v>
      </c>
      <c r="AD30" s="308">
        <f>+GETPIVOTDATA("Sum of Old UG E-Learning",'Pivot Table for Fact Book'!$A$3,"State","GA","type",13,"type2","Techncial")</f>
        <v>0</v>
      </c>
      <c r="AE30" s="308">
        <f>+GETPIVOTDATA("Sum of New UG E-Learning",'Pivot Table for Fact Book'!$A$3,"State","GA","type",13,"type2","Techncial")</f>
        <v>0</v>
      </c>
      <c r="AF30" s="312">
        <f>+GETPIVOTDATA("Sum of Old UG E-Learning",'Pivot Table for Fact Book'!$A$3,"State","GA","type2","Techncial")</f>
        <v>629798</v>
      </c>
      <c r="AG30" s="312">
        <f>+GETPIVOTDATA("Sum of New UG E-Learning",'Pivot Table for Fact Book'!$A$3,"State","GA","type2","Techncial")</f>
        <v>661322</v>
      </c>
    </row>
    <row r="31" spans="1:33">
      <c r="A31" s="320" t="s">
        <v>890</v>
      </c>
      <c r="B31" s="307">
        <f>GETPIVOTDATA("Sum of Old UG E-Learning",'Pivot Table for Fact Book'!$A$3,"State","KY","type",1,"Type2","Four-Year")</f>
        <v>89711</v>
      </c>
      <c r="C31" s="308">
        <f>GETPIVOTDATA("Sum of New UG E-Learning",'Pivot Table for Fact Book'!$A$3,"State","KY","type",1,"Type2","Four-Year")</f>
        <v>101048</v>
      </c>
      <c r="D31" s="307">
        <f>GETPIVOTDATA("Sum of Old UG E-Learning",'Pivot Table for Fact Book'!$A$3,"State","KY","type",2,"Type2","Four-Year")</f>
        <v>0</v>
      </c>
      <c r="E31" s="308">
        <f>GETPIVOTDATA("Sum of New UG E-Learning",'Pivot Table for Fact Book'!$A$3,"State","KY","type",2,"Type2","Four-Year")</f>
        <v>0</v>
      </c>
      <c r="F31" s="307">
        <f>GETPIVOTDATA("Sum of Old UG E-Learning",'Pivot Table for Fact Book'!$A$3,"State","KY","type",3,"Type2","Four-Year")</f>
        <v>310640</v>
      </c>
      <c r="G31" s="308">
        <f>GETPIVOTDATA("Sum of New UG E-Learning",'Pivot Table for Fact Book'!$A$3,"State","KY","type",3,"Type2","Four-Year")</f>
        <v>313122</v>
      </c>
      <c r="H31" s="307">
        <f>GETPIVOTDATA("Sum of Old UG E-Learning",'Pivot Table for Fact Book'!$A$3,"State","KY","type",4,"Type2","Four-Year")</f>
        <v>9905</v>
      </c>
      <c r="I31" s="308">
        <f>GETPIVOTDATA("Sum of New UG E-Learning",'Pivot Table for Fact Book'!$A$3,"State","KY","type",4,"Type2","Four-Year")</f>
        <v>13526</v>
      </c>
      <c r="J31" s="307">
        <f>GETPIVOTDATA("Sum of Old UG E-Learning",'Pivot Table for Fact Book'!$A$3,"State","KY","type",5,"Type2","Four-Year")</f>
        <v>0</v>
      </c>
      <c r="K31" s="308">
        <f>GETPIVOTDATA("Sum of New UG E-Learning",'Pivot Table for Fact Book'!$A$3,"State","KY","type",5,"Type2","Four-Year")</f>
        <v>0</v>
      </c>
      <c r="L31" s="307">
        <f>GETPIVOTDATA("Sum of Old UG E-Learning",'Pivot Table for Fact Book'!$A$3,"State","KY","type",6,"Type2","Four-Year")</f>
        <v>0</v>
      </c>
      <c r="M31" s="308">
        <f>GETPIVOTDATA("Sum of New UG E-Learning",'Pivot Table for Fact Book'!$A$3,"State","KY","type",6,"Type2","Four-Year")</f>
        <v>0</v>
      </c>
      <c r="N31" s="307">
        <f>GETPIVOTDATA("Sum of Old UG E-Learning",'Pivot Table for Fact Book'!$A$3,"State","KY","type",15,"Type2","Four-Year")</f>
        <v>0</v>
      </c>
      <c r="O31" s="308">
        <f>GETPIVOTDATA("Sum of New UG E-Learning",'Pivot Table for Fact Book'!$A$3,"State","KY","type",15,"Type2","Four-Year")</f>
        <v>0</v>
      </c>
      <c r="P31" s="309">
        <f>GETPIVOTDATA("Sum of Old UG E-Learning",'Pivot Table for Fact Book'!$A$3,"State","KY","Type2","Four-Year")</f>
        <v>410256</v>
      </c>
      <c r="Q31" s="309">
        <f>GETPIVOTDATA("Sum of New UG E-Learning",'Pivot Table for Fact Book'!$A$3,"State","KY","Type2","Four-Year")</f>
        <v>427696</v>
      </c>
      <c r="R31" s="307">
        <f>GETPIVOTDATA("Sum of Old UG E-Learning",'Pivot Table for Fact Book'!$A$3,"State","KY","type",7,"Type2","Two-Year")</f>
        <v>0</v>
      </c>
      <c r="S31" s="308">
        <f>GETPIVOTDATA("Sum of New UG E-Learning",'Pivot Table for Fact Book'!$A$3,"State","KY","type",7,"Type2","Two-Year")</f>
        <v>0</v>
      </c>
      <c r="T31" s="308">
        <f>GETPIVOTDATA("Sum of Old UG E-Learning",'Pivot Table for Fact Book'!$A$3,"State","KY","type",8,"Type2","Two-Year")</f>
        <v>123317</v>
      </c>
      <c r="U31" s="308">
        <f>GETPIVOTDATA("Sum of New UG E-Learning",'Pivot Table for Fact Book'!$A$3,"State","KY","type",8,"Type2","Two-Year")</f>
        <v>128691</v>
      </c>
      <c r="V31" s="308">
        <f>GETPIVOTDATA("Sum of Old UG E-Learning",'Pivot Table for Fact Book'!$A$3,"State","KY","type",9,"Type2","Two-Year")</f>
        <v>262723</v>
      </c>
      <c r="W31" s="308">
        <f>GETPIVOTDATA("Sum of New UG E-Learning",'Pivot Table for Fact Book'!$A$3,"State","KY","type",9,"Type2","Two-Year")</f>
        <v>258524</v>
      </c>
      <c r="X31" s="308">
        <f>GETPIVOTDATA("Sum of Old UG E-Learning",'Pivot Table for Fact Book'!$A$3,"State","KY","type",10,"Type2","Two-Year")</f>
        <v>109762</v>
      </c>
      <c r="Y31" s="308">
        <f>GETPIVOTDATA("Sum of New UG E-Learning",'Pivot Table for Fact Book'!$A$3,"State","KY","type",10,"Type2","Two-Year")</f>
        <v>108312</v>
      </c>
      <c r="Z31" s="310">
        <f>GETPIVOTDATA("Sum of Old UG E-Learning",'Pivot Table for Fact Book'!$A$3,"State","KY","Type2","Two-Year")</f>
        <v>495802</v>
      </c>
      <c r="AA31" s="310">
        <f>GETPIVOTDATA("Sum of New UG E-Learning",'Pivot Table for Fact Book'!$A$3,"State","KY","Type2","Two-Year")</f>
        <v>495527</v>
      </c>
      <c r="AB31" s="307">
        <f>+GETPIVOTDATA("Sum of Old UG E-Learning",'Pivot Table for Fact Book'!$A$3,"State","KY","type",12,"type2","Techncial")</f>
        <v>46949</v>
      </c>
      <c r="AC31" s="308">
        <f>+GETPIVOTDATA("Sum of New UG E-Learning",'Pivot Table for Fact Book'!$A$3,"State","KY","type",12,"type2","Techncial")</f>
        <v>46886</v>
      </c>
      <c r="AD31" s="308">
        <f>+GETPIVOTDATA("Sum of Old UG E-Learning",'Pivot Table for Fact Book'!$A$3,"State","KY","type",13,"type2","Techncial")</f>
        <v>0</v>
      </c>
      <c r="AE31" s="308">
        <f>+GETPIVOTDATA("Sum of New UG E-Learning",'Pivot Table for Fact Book'!$A$3,"State","KY","type",13,"type2","Techncial")</f>
        <v>0</v>
      </c>
      <c r="AF31" s="312">
        <f>+GETPIVOTDATA("Sum of Old UG E-Learning",'Pivot Table for Fact Book'!$A$3,"State","KY","type2","Techncial")</f>
        <v>46949</v>
      </c>
      <c r="AG31" s="312">
        <f>+GETPIVOTDATA("Sum of New UG E-Learning",'Pivot Table for Fact Book'!$A$3,"State","KY","type2","Techncial")</f>
        <v>46886</v>
      </c>
    </row>
    <row r="32" spans="1:33">
      <c r="A32" s="320" t="s">
        <v>891</v>
      </c>
      <c r="B32" s="307">
        <f>GETPIVOTDATA("Sum of Old UG E-Learning",'Pivot Table for Fact Book'!$A$3,"State","LA","type",1,"Type2","Four-Year")</f>
        <v>16877.863874345599</v>
      </c>
      <c r="C32" s="308">
        <f>GETPIVOTDATA("Sum of New UG E-Learning",'Pivot Table for Fact Book'!$A$3,"State","LA","type",1,"Type2","Four-Year")</f>
        <v>21853.508426966298</v>
      </c>
      <c r="D32" s="307">
        <f>GETPIVOTDATA("Sum of Old UG E-Learning",'Pivot Table for Fact Book'!$A$3,"State","LA","type",2,"Type2","Four-Year")</f>
        <v>85659.963274439899</v>
      </c>
      <c r="E32" s="308">
        <f>GETPIVOTDATA("Sum of New UG E-Learning",'Pivot Table for Fact Book'!$A$3,"State","LA","type",2,"Type2","Four-Year")</f>
        <v>103449.4122275316</v>
      </c>
      <c r="F32" s="307">
        <f>GETPIVOTDATA("Sum of Old UG E-Learning",'Pivot Table for Fact Book'!$A$3,"State","LA","type",3,"Type2","Four-Year")</f>
        <v>116388.08231047043</v>
      </c>
      <c r="G32" s="308">
        <f>GETPIVOTDATA("Sum of New UG E-Learning",'Pivot Table for Fact Book'!$A$3,"State","LA","type",3,"Type2","Four-Year")</f>
        <v>165856.6278418914</v>
      </c>
      <c r="H32" s="307">
        <f>GETPIVOTDATA("Sum of Old UG E-Learning",'Pivot Table for Fact Book'!$A$3,"State","LA","type",4,"Type2","Four-Year")</f>
        <v>126911.34853410861</v>
      </c>
      <c r="I32" s="308">
        <f>GETPIVOTDATA("Sum of New UG E-Learning",'Pivot Table for Fact Book'!$A$3,"State","LA","type",4,"Type2","Four-Year")</f>
        <v>158680.03870814751</v>
      </c>
      <c r="J32" s="307">
        <f>GETPIVOTDATA("Sum of Old UG E-Learning",'Pivot Table for Fact Book'!$A$3,"State","LA","type",5,"Type2","Four-Year")</f>
        <v>5830.0273972602699</v>
      </c>
      <c r="K32" s="308">
        <f>GETPIVOTDATA("Sum of New UG E-Learning",'Pivot Table for Fact Book'!$A$3,"State","LA","type",5,"Type2","Four-Year")</f>
        <v>6093.4829268292697</v>
      </c>
      <c r="L32" s="307">
        <f>GETPIVOTDATA("Sum of Old UG E-Learning",'Pivot Table for Fact Book'!$A$3,"State","LA","type",6,"Type2","Four-Year")</f>
        <v>17611.978683966601</v>
      </c>
      <c r="M32" s="308">
        <f>GETPIVOTDATA("Sum of New UG E-Learning",'Pivot Table for Fact Book'!$A$3,"State","LA","type",6,"Type2","Four-Year")</f>
        <v>25814.8704</v>
      </c>
      <c r="N32" s="307">
        <f>GETPIVOTDATA("Sum of Old UG E-Learning",'Pivot Table for Fact Book'!$A$3,"State","LA","type",15,"Type2","Four-Year")</f>
        <v>0</v>
      </c>
      <c r="O32" s="308">
        <f>GETPIVOTDATA("Sum of New UG E-Learning",'Pivot Table for Fact Book'!$A$3,"State","LA","type",15,"Type2","Four-Year")</f>
        <v>0</v>
      </c>
      <c r="P32" s="309">
        <f>GETPIVOTDATA("Sum of Old UG E-Learning",'Pivot Table for Fact Book'!$A$3,"State","LA","Type2","Four-Year")</f>
        <v>369279.2640745914</v>
      </c>
      <c r="Q32" s="309">
        <f>GETPIVOTDATA("Sum of New UG E-Learning",'Pivot Table for Fact Book'!$A$3,"State","LA","Type2","Four-Year")</f>
        <v>481747.94053136604</v>
      </c>
      <c r="R32" s="307">
        <f>GETPIVOTDATA("Sum of Old UG E-Learning",'Pivot Table for Fact Book'!$A$3,"State","LA","type",7,"Type2","Two-Year")</f>
        <v>0</v>
      </c>
      <c r="S32" s="308">
        <f>GETPIVOTDATA("Sum of New UG E-Learning",'Pivot Table for Fact Book'!$A$3,"State","LA","type",7,"Type2","Two-Year")</f>
        <v>0</v>
      </c>
      <c r="T32" s="308">
        <f>GETPIVOTDATA("Sum of Old UG E-Learning",'Pivot Table for Fact Book'!$A$3,"State","LA","type",8,"Type2","Two-Year")</f>
        <v>91733.718044091191</v>
      </c>
      <c r="U32" s="308">
        <f>GETPIVOTDATA("Sum of New UG E-Learning",'Pivot Table for Fact Book'!$A$3,"State","LA","type",8,"Type2","Two-Year")</f>
        <v>114513.19370365649</v>
      </c>
      <c r="V32" s="308">
        <f>GETPIVOTDATA("Sum of Old UG E-Learning",'Pivot Table for Fact Book'!$A$3,"State","LA","type",9,"Type2","Two-Year")</f>
        <v>30980.231464807581</v>
      </c>
      <c r="W32" s="308">
        <f>GETPIVOTDATA("Sum of New UG E-Learning",'Pivot Table for Fact Book'!$A$3,"State","LA","type",9,"Type2","Two-Year")</f>
        <v>44059.415483160294</v>
      </c>
      <c r="X32" s="308">
        <f>GETPIVOTDATA("Sum of Old UG E-Learning",'Pivot Table for Fact Book'!$A$3,"State","LA","type",10,"Type2","Two-Year")</f>
        <v>32832.03846434172</v>
      </c>
      <c r="Y32" s="308">
        <f>GETPIVOTDATA("Sum of New UG E-Learning",'Pivot Table for Fact Book'!$A$3,"State","LA","type",10,"Type2","Two-Year")</f>
        <v>42564.355222197599</v>
      </c>
      <c r="Z32" s="310">
        <f>GETPIVOTDATA("Sum of Old UG E-Learning",'Pivot Table for Fact Book'!$A$3,"State","LA","Type2","Two-Year")</f>
        <v>155545.98797324052</v>
      </c>
      <c r="AA32" s="310">
        <f>GETPIVOTDATA("Sum of New UG E-Learning",'Pivot Table for Fact Book'!$A$3,"State","LA","Type2","Two-Year")</f>
        <v>201136.96440901438</v>
      </c>
      <c r="AB32" s="307">
        <f>+GETPIVOTDATA("Sum of Old UG E-Learning",'Pivot Table for Fact Book'!$A$3,"State","LA","type",12,"type2","Techncial")</f>
        <v>29965.39611393011</v>
      </c>
      <c r="AC32" s="308">
        <f>+GETPIVOTDATA("Sum of New UG E-Learning",'Pivot Table for Fact Book'!$A$3,"State","LA","type",12,"type2","Techncial")</f>
        <v>41844.970488464045</v>
      </c>
      <c r="AD32" s="308">
        <f>+GETPIVOTDATA("Sum of Old UG E-Learning",'Pivot Table for Fact Book'!$A$3,"State","LA","type",13,"type2","Techncial")</f>
        <v>0</v>
      </c>
      <c r="AE32" s="308">
        <f>+GETPIVOTDATA("Sum of New UG E-Learning",'Pivot Table for Fact Book'!$A$3,"State","LA","type",13,"type2","Techncial")</f>
        <v>0</v>
      </c>
      <c r="AF32" s="312">
        <f>+GETPIVOTDATA("Sum of Old UG E-Learning",'Pivot Table for Fact Book'!$A$3,"State","LA","type2","Techncial")</f>
        <v>29965.39611393011</v>
      </c>
      <c r="AG32" s="312">
        <f>+GETPIVOTDATA("Sum of New UG E-Learning",'Pivot Table for Fact Book'!$A$3,"State","LA","type2","Techncial")</f>
        <v>41844.970488464045</v>
      </c>
    </row>
    <row r="33" spans="1:33">
      <c r="A33" s="320" t="s">
        <v>892</v>
      </c>
      <c r="B33" s="307">
        <f>GETPIVOTDATA("Sum of Old UG E-Learning",'Pivot Table for Fact Book'!$A$3,"State","MD","type",1,"Type2","Four-Year")</f>
        <v>32586</v>
      </c>
      <c r="C33" s="308">
        <f>GETPIVOTDATA("Sum of New UG E-Learning",'Pivot Table for Fact Book'!$A$3,"State","MD","type",1,"Type2","Four-Year")</f>
        <v>35948</v>
      </c>
      <c r="D33" s="307">
        <f>GETPIVOTDATA("Sum of Old UG E-Learning",'Pivot Table for Fact Book'!$A$3,"State","MD","type",2,"Type2","Four-Year")</f>
        <v>54562</v>
      </c>
      <c r="E33" s="308">
        <f>GETPIVOTDATA("Sum of New UG E-Learning",'Pivot Table for Fact Book'!$A$3,"State","MD","type",2,"Type2","Four-Year")</f>
        <v>56415</v>
      </c>
      <c r="F33" s="307">
        <f>GETPIVOTDATA("Sum of Old UG E-Learning",'Pivot Table for Fact Book'!$A$3,"State","MD","type",3,"Type2","Four-Year")</f>
        <v>76242</v>
      </c>
      <c r="G33" s="308">
        <f>GETPIVOTDATA("Sum of New UG E-Learning",'Pivot Table for Fact Book'!$A$3,"State","MD","type",3,"Type2","Four-Year")</f>
        <v>81711</v>
      </c>
      <c r="H33" s="307">
        <f>GETPIVOTDATA("Sum of Old UG E-Learning",'Pivot Table for Fact Book'!$A$3,"State","MD","type",4,"Type2","Four-Year")</f>
        <v>86145</v>
      </c>
      <c r="I33" s="308">
        <f>GETPIVOTDATA("Sum of New UG E-Learning",'Pivot Table for Fact Book'!$A$3,"State","MD","type",4,"Type2","Four-Year")</f>
        <v>87850</v>
      </c>
      <c r="J33" s="307">
        <f>GETPIVOTDATA("Sum of Old UG E-Learning",'Pivot Table for Fact Book'!$A$3,"State","MD","type",5,"Type2","Four-Year")</f>
        <v>13916</v>
      </c>
      <c r="K33" s="308">
        <f>GETPIVOTDATA("Sum of New UG E-Learning",'Pivot Table for Fact Book'!$A$3,"State","MD","type",5,"Type2","Four-Year")</f>
        <v>13013</v>
      </c>
      <c r="L33" s="307">
        <f>GETPIVOTDATA("Sum of Old UG E-Learning",'Pivot Table for Fact Book'!$A$3,"State","MD","type",6,"Type2","Four-Year")</f>
        <v>0</v>
      </c>
      <c r="M33" s="308">
        <f>GETPIVOTDATA("Sum of New UG E-Learning",'Pivot Table for Fact Book'!$A$3,"State","MD","type",6,"Type2","Four-Year")</f>
        <v>0</v>
      </c>
      <c r="N33" s="307">
        <f>GETPIVOTDATA("Sum of Old UG E-Learning",'Pivot Table for Fact Book'!$A$3,"State","MD","type",15,"Type2","Four-Year")</f>
        <v>728568</v>
      </c>
      <c r="O33" s="308">
        <f>GETPIVOTDATA("Sum of New UG E-Learning",'Pivot Table for Fact Book'!$A$3,"State","MD","type",15,"Type2","Four-Year")</f>
        <v>752590.5</v>
      </c>
      <c r="P33" s="309">
        <f>GETPIVOTDATA("Sum of Old UG E-Learning",'Pivot Table for Fact Book'!$A$3,"State","MD","Type2","Four-Year")</f>
        <v>992019</v>
      </c>
      <c r="Q33" s="309">
        <f>GETPIVOTDATA("Sum of New UG E-Learning",'Pivot Table for Fact Book'!$A$3,"State","MD","Type2","Four-Year")</f>
        <v>1027527.5</v>
      </c>
      <c r="R33" s="307">
        <f>GETPIVOTDATA("Sum of Old UG E-Learning",'Pivot Table for Fact Book'!$A$3,"State","MD","type",7,"Type2","Two-Year")</f>
        <v>0</v>
      </c>
      <c r="S33" s="308">
        <f>GETPIVOTDATA("Sum of New UG E-Learning",'Pivot Table for Fact Book'!$A$3,"State","MD","type",7,"Type2","Two-Year")</f>
        <v>0</v>
      </c>
      <c r="T33" s="308">
        <f>GETPIVOTDATA("Sum of Old UG E-Learning",'Pivot Table for Fact Book'!$A$3,"State","MD","type",8,"Type2","Two-Year")</f>
        <v>322790</v>
      </c>
      <c r="U33" s="308">
        <f>GETPIVOTDATA("Sum of New UG E-Learning",'Pivot Table for Fact Book'!$A$3,"State","MD","type",8,"Type2","Two-Year")</f>
        <v>337891</v>
      </c>
      <c r="V33" s="308">
        <f>GETPIVOTDATA("Sum of Old UG E-Learning",'Pivot Table for Fact Book'!$A$3,"State","MD","type",9,"Type2","Two-Year")</f>
        <v>125654</v>
      </c>
      <c r="W33" s="308">
        <f>GETPIVOTDATA("Sum of New UG E-Learning",'Pivot Table for Fact Book'!$A$3,"State","MD","type",9,"Type2","Two-Year")</f>
        <v>131005</v>
      </c>
      <c r="X33" s="308">
        <f>GETPIVOTDATA("Sum of Old UG E-Learning",'Pivot Table for Fact Book'!$A$3,"State","MD","type",10,"Type2","Two-Year")</f>
        <v>32348</v>
      </c>
      <c r="Y33" s="308">
        <f>GETPIVOTDATA("Sum of New UG E-Learning",'Pivot Table for Fact Book'!$A$3,"State","MD","type",10,"Type2","Two-Year")</f>
        <v>34364</v>
      </c>
      <c r="Z33" s="310">
        <f>GETPIVOTDATA("Sum of Old UG E-Learning",'Pivot Table for Fact Book'!$A$3,"State","MD","Type2","Two-Year")</f>
        <v>480792</v>
      </c>
      <c r="AA33" s="310">
        <f>GETPIVOTDATA("Sum of New UG E-Learning",'Pivot Table for Fact Book'!$A$3,"State","MD","Type2","Two-Year")</f>
        <v>503260</v>
      </c>
      <c r="AB33" s="307">
        <f>+GETPIVOTDATA("Sum of Old UG E-Learning",'Pivot Table for Fact Book'!$A$3,"State","MD","type",12,"type2","Techncial")</f>
        <v>0</v>
      </c>
      <c r="AC33" s="308">
        <f>+GETPIVOTDATA("Sum of New UG E-Learning",'Pivot Table for Fact Book'!$A$3,"State","MD","type",12,"type2","Techncial")</f>
        <v>0</v>
      </c>
      <c r="AD33" s="308">
        <f>+GETPIVOTDATA("Sum of Old UG E-Learning",'Pivot Table for Fact Book'!$A$3,"State","MD","type",13,"type2","Techncial")</f>
        <v>0</v>
      </c>
      <c r="AE33" s="308">
        <f>+GETPIVOTDATA("Sum of New UG E-Learning",'Pivot Table for Fact Book'!$A$3,"State","MD","type",13,"type2","Techncial")</f>
        <v>0</v>
      </c>
      <c r="AF33" s="312">
        <f>+GETPIVOTDATA("Sum of Old UG E-Learning",'Pivot Table for Fact Book'!$A$3,"State","MD","type2","Techncial")</f>
        <v>0</v>
      </c>
      <c r="AG33" s="312">
        <f>+GETPIVOTDATA("Sum of New UG E-Learning",'Pivot Table for Fact Book'!$A$3,"State","MD","type2","Techncial")</f>
        <v>0</v>
      </c>
    </row>
    <row r="34" spans="1:33">
      <c r="A34" s="320" t="s">
        <v>893</v>
      </c>
      <c r="B34" s="307">
        <f>GETPIVOTDATA("Sum of Old UG E-Learning",'Pivot Table for Fact Book'!$A$3,"State","MS","type",1,"Type2","Four-Year")</f>
        <v>102870</v>
      </c>
      <c r="C34" s="308">
        <f>GETPIVOTDATA("Sum of New UG E-Learning",'Pivot Table for Fact Book'!$A$3,"State","MS","type",1,"Type2","Four-Year")</f>
        <v>120834</v>
      </c>
      <c r="D34" s="307">
        <f>GETPIVOTDATA("Sum of Old UG E-Learning",'Pivot Table for Fact Book'!$A$3,"State","MS","type",2,"Type2","Four-Year")</f>
        <v>87567</v>
      </c>
      <c r="E34" s="308">
        <f>GETPIVOTDATA("Sum of New UG E-Learning",'Pivot Table for Fact Book'!$A$3,"State","MS","type",2,"Type2","Four-Year")</f>
        <v>105416</v>
      </c>
      <c r="F34" s="307">
        <f>GETPIVOTDATA("Sum of Old UG E-Learning",'Pivot Table for Fact Book'!$A$3,"State","MS","type",3,"Type2","Four-Year")</f>
        <v>0</v>
      </c>
      <c r="G34" s="308">
        <f>GETPIVOTDATA("Sum of New UG E-Learning",'Pivot Table for Fact Book'!$A$3,"State","MS","type",3,"Type2","Four-Year")</f>
        <v>0</v>
      </c>
      <c r="H34" s="307">
        <f>GETPIVOTDATA("Sum of Old UG E-Learning",'Pivot Table for Fact Book'!$A$3,"State","MS","type",4,"Type2","Four-Year")</f>
        <v>39379</v>
      </c>
      <c r="I34" s="308">
        <f>GETPIVOTDATA("Sum of New UG E-Learning",'Pivot Table for Fact Book'!$A$3,"State","MS","type",4,"Type2","Four-Year")</f>
        <v>49810</v>
      </c>
      <c r="J34" s="307">
        <f>GETPIVOTDATA("Sum of Old UG E-Learning",'Pivot Table for Fact Book'!$A$3,"State","MS","type",5,"Type2","Four-Year")</f>
        <v>35521</v>
      </c>
      <c r="K34" s="308">
        <f>GETPIVOTDATA("Sum of New UG E-Learning",'Pivot Table for Fact Book'!$A$3,"State","MS","type",5,"Type2","Four-Year")</f>
        <v>36984</v>
      </c>
      <c r="L34" s="307">
        <f>GETPIVOTDATA("Sum of Old UG E-Learning",'Pivot Table for Fact Book'!$A$3,"State","MS","type",6,"Type2","Four-Year")</f>
        <v>0</v>
      </c>
      <c r="M34" s="308">
        <f>GETPIVOTDATA("Sum of New UG E-Learning",'Pivot Table for Fact Book'!$A$3,"State","MS","type",6,"Type2","Four-Year")</f>
        <v>0</v>
      </c>
      <c r="N34" s="307">
        <f>GETPIVOTDATA("Sum of Old UG E-Learning",'Pivot Table for Fact Book'!$A$3,"State","MS","type",15,"Type2","Four-Year")</f>
        <v>0</v>
      </c>
      <c r="O34" s="308">
        <f>GETPIVOTDATA("Sum of New UG E-Learning",'Pivot Table for Fact Book'!$A$3,"State","MS","type",15,"Type2","Four-Year")</f>
        <v>0</v>
      </c>
      <c r="P34" s="309">
        <f>GETPIVOTDATA("Sum of Old UG E-Learning",'Pivot Table for Fact Book'!$A$3,"State","MS","Type2","Four-Year")</f>
        <v>265337</v>
      </c>
      <c r="Q34" s="309">
        <f>GETPIVOTDATA("Sum of New UG E-Learning",'Pivot Table for Fact Book'!$A$3,"State","MS","Type2","Four-Year")</f>
        <v>313044</v>
      </c>
      <c r="R34" s="307">
        <f>GETPIVOTDATA("Sum of Old UG E-Learning",'Pivot Table for Fact Book'!$A$3,"State","MS","type",7,"Type2","Two-Year")</f>
        <v>0</v>
      </c>
      <c r="S34" s="308">
        <f>GETPIVOTDATA("Sum of New UG E-Learning",'Pivot Table for Fact Book'!$A$3,"State","MS","type",7,"Type2","Two-Year")</f>
        <v>0</v>
      </c>
      <c r="T34" s="308">
        <f>GETPIVOTDATA("Sum of Old UG E-Learning",'Pivot Table for Fact Book'!$A$3,"State","MS","type",8,"Type2","Two-Year")</f>
        <v>282425</v>
      </c>
      <c r="U34" s="308">
        <f>GETPIVOTDATA("Sum of New UG E-Learning",'Pivot Table for Fact Book'!$A$3,"State","MS","type",8,"Type2","Two-Year")</f>
        <v>279955</v>
      </c>
      <c r="V34" s="308">
        <f>GETPIVOTDATA("Sum of Old UG E-Learning",'Pivot Table for Fact Book'!$A$3,"State","MS","type",9,"Type2","Two-Year")</f>
        <v>180962</v>
      </c>
      <c r="W34" s="308">
        <f>GETPIVOTDATA("Sum of New UG E-Learning",'Pivot Table for Fact Book'!$A$3,"State","MS","type",9,"Type2","Two-Year")</f>
        <v>187307</v>
      </c>
      <c r="X34" s="308">
        <f>GETPIVOTDATA("Sum of Old UG E-Learning",'Pivot Table for Fact Book'!$A$3,"State","MS","type",10,"Type2","Two-Year")</f>
        <v>16387</v>
      </c>
      <c r="Y34" s="308">
        <f>GETPIVOTDATA("Sum of New UG E-Learning",'Pivot Table for Fact Book'!$A$3,"State","MS","type",10,"Type2","Two-Year")</f>
        <v>19671</v>
      </c>
      <c r="Z34" s="310">
        <f>GETPIVOTDATA("Sum of Old UG E-Learning",'Pivot Table for Fact Book'!$A$3,"State","MS","Type2","Two-Year")</f>
        <v>479774</v>
      </c>
      <c r="AA34" s="310">
        <f>GETPIVOTDATA("Sum of New UG E-Learning",'Pivot Table for Fact Book'!$A$3,"State","MS","Type2","Two-Year")</f>
        <v>486933</v>
      </c>
      <c r="AB34" s="307">
        <f>+GETPIVOTDATA("Sum of Old UG E-Learning",'Pivot Table for Fact Book'!$A$3,"State","MS","type",12,"type2","Techncial")</f>
        <v>0</v>
      </c>
      <c r="AC34" s="308">
        <f>+GETPIVOTDATA("Sum of New UG E-Learning",'Pivot Table for Fact Book'!$A$3,"State","MS","type",12,"type2","Techncial")</f>
        <v>0</v>
      </c>
      <c r="AD34" s="308">
        <f>+GETPIVOTDATA("Sum of Old UG E-Learning",'Pivot Table for Fact Book'!$A$3,"State","MS","type",13,"type2","Techncial")</f>
        <v>0</v>
      </c>
      <c r="AE34" s="308">
        <f>+GETPIVOTDATA("Sum of New UG E-Learning",'Pivot Table for Fact Book'!$A$3,"State","MS","type",13,"type2","Techncial")</f>
        <v>0</v>
      </c>
      <c r="AF34" s="312">
        <f>+GETPIVOTDATA("Sum of Old UG E-Learning",'Pivot Table for Fact Book'!$A$3,"State","MS","type2","Techncial")</f>
        <v>0</v>
      </c>
      <c r="AG34" s="312">
        <f>+GETPIVOTDATA("Sum of New UG E-Learning",'Pivot Table for Fact Book'!$A$3,"State","MS","type2","Techncial")</f>
        <v>0</v>
      </c>
    </row>
    <row r="35" spans="1:33">
      <c r="A35" s="320" t="s">
        <v>894</v>
      </c>
      <c r="B35" s="307">
        <f>GETPIVOTDATA("Sum of Old UG E-Learning",'Pivot Table for Fact Book'!$A$3,"State","NC","type",1,"Type2","Four-Year")</f>
        <v>301087</v>
      </c>
      <c r="C35" s="308">
        <f>GETPIVOTDATA("Sum of New UG E-Learning",'Pivot Table for Fact Book'!$A$3,"State","NC","type",1,"Type2","Four-Year")</f>
        <v>312998</v>
      </c>
      <c r="D35" s="307">
        <f>GETPIVOTDATA("Sum of Old UG E-Learning",'Pivot Table for Fact Book'!$A$3,"State","NC","type",2,"Type2","Four-Year")</f>
        <v>130977</v>
      </c>
      <c r="E35" s="308">
        <f>GETPIVOTDATA("Sum of New UG E-Learning",'Pivot Table for Fact Book'!$A$3,"State","NC","type",2,"Type2","Four-Year")</f>
        <v>127489</v>
      </c>
      <c r="F35" s="307">
        <f>GETPIVOTDATA("Sum of Old UG E-Learning",'Pivot Table for Fact Book'!$A$3,"State","NC","type",3,"Type2","Four-Year")</f>
        <v>217106</v>
      </c>
      <c r="G35" s="308">
        <f>GETPIVOTDATA("Sum of New UG E-Learning",'Pivot Table for Fact Book'!$A$3,"State","NC","type",3,"Type2","Four-Year")</f>
        <v>247893</v>
      </c>
      <c r="H35" s="307">
        <f>GETPIVOTDATA("Sum of Old UG E-Learning",'Pivot Table for Fact Book'!$A$3,"State","NC","type",4,"Type2","Four-Year")</f>
        <v>44518</v>
      </c>
      <c r="I35" s="308">
        <f>GETPIVOTDATA("Sum of New UG E-Learning",'Pivot Table for Fact Book'!$A$3,"State","NC","type",4,"Type2","Four-Year")</f>
        <v>47284</v>
      </c>
      <c r="J35" s="307">
        <f>GETPIVOTDATA("Sum of Old UG E-Learning",'Pivot Table for Fact Book'!$A$3,"State","NC","type",5,"Type2","Four-Year")</f>
        <v>69379</v>
      </c>
      <c r="K35" s="308">
        <f>GETPIVOTDATA("Sum of New UG E-Learning",'Pivot Table for Fact Book'!$A$3,"State","NC","type",5,"Type2","Four-Year")</f>
        <v>66021</v>
      </c>
      <c r="L35" s="307">
        <f>GETPIVOTDATA("Sum of Old UG E-Learning",'Pivot Table for Fact Book'!$A$3,"State","NC","type",6,"Type2","Four-Year")</f>
        <v>15728</v>
      </c>
      <c r="M35" s="308">
        <f>GETPIVOTDATA("Sum of New UG E-Learning",'Pivot Table for Fact Book'!$A$3,"State","NC","type",6,"Type2","Four-Year")</f>
        <v>8862</v>
      </c>
      <c r="N35" s="307">
        <f>GETPIVOTDATA("Sum of Old UG E-Learning",'Pivot Table for Fact Book'!$A$3,"State","NC","type",15,"Type2","Four-Year")</f>
        <v>0</v>
      </c>
      <c r="O35" s="308">
        <f>GETPIVOTDATA("Sum of New UG E-Learning",'Pivot Table for Fact Book'!$A$3,"State","NC","type",15,"Type2","Four-Year")</f>
        <v>0</v>
      </c>
      <c r="P35" s="309">
        <f>GETPIVOTDATA("Sum of Old UG E-Learning",'Pivot Table for Fact Book'!$A$3,"State","NC","Type2","Four-Year")</f>
        <v>778795</v>
      </c>
      <c r="Q35" s="309">
        <f>GETPIVOTDATA("Sum of New UG E-Learning",'Pivot Table for Fact Book'!$A$3,"State","NC","Type2","Four-Year")</f>
        <v>810547</v>
      </c>
      <c r="R35" s="307">
        <f>GETPIVOTDATA("Sum of Old UG E-Learning",'Pivot Table for Fact Book'!$A$3,"State","NC","type",7,"Type2","Two-Year")</f>
        <v>0</v>
      </c>
      <c r="S35" s="308">
        <f>GETPIVOTDATA("Sum of New UG E-Learning",'Pivot Table for Fact Book'!$A$3,"State","NC","type",7,"Type2","Two-Year")</f>
        <v>0</v>
      </c>
      <c r="T35" s="308">
        <f>GETPIVOTDATA("Sum of Old UG E-Learning",'Pivot Table for Fact Book'!$A$3,"State","NC","type",8,"Type2","Two-Year")</f>
        <v>840489</v>
      </c>
      <c r="U35" s="308">
        <f>GETPIVOTDATA("Sum of New UG E-Learning",'Pivot Table for Fact Book'!$A$3,"State","NC","type",8,"Type2","Two-Year")</f>
        <v>869102</v>
      </c>
      <c r="V35" s="308">
        <f>GETPIVOTDATA("Sum of Old UG E-Learning",'Pivot Table for Fact Book'!$A$3,"State","NC","type",9,"Type2","Two-Year")</f>
        <v>770044.5</v>
      </c>
      <c r="W35" s="308">
        <f>GETPIVOTDATA("Sum of New UG E-Learning",'Pivot Table for Fact Book'!$A$3,"State","NC","type",9,"Type2","Two-Year")</f>
        <v>793042.5</v>
      </c>
      <c r="X35" s="308">
        <f>GETPIVOTDATA("Sum of Old UG E-Learning",'Pivot Table for Fact Book'!$A$3,"State","NC","type",10,"Type2","Two-Year")</f>
        <v>370293</v>
      </c>
      <c r="Y35" s="308">
        <f>GETPIVOTDATA("Sum of New UG E-Learning",'Pivot Table for Fact Book'!$A$3,"State","NC","type",10,"Type2","Two-Year")</f>
        <v>373239</v>
      </c>
      <c r="Z35" s="310">
        <f>GETPIVOTDATA("Sum of Old UG E-Learning",'Pivot Table for Fact Book'!$A$3,"State","NC","Type2","Two-Year")</f>
        <v>1980826.5</v>
      </c>
      <c r="AA35" s="310">
        <f>GETPIVOTDATA("Sum of New UG E-Learning",'Pivot Table for Fact Book'!$A$3,"State","NC","Type2","Two-Year")</f>
        <v>2035383.5</v>
      </c>
      <c r="AB35" s="307">
        <f>+GETPIVOTDATA("Sum of Old UG E-Learning",'Pivot Table for Fact Book'!$A$3,"State","NC","type",12,"type2","Techncial")</f>
        <v>0</v>
      </c>
      <c r="AC35" s="308">
        <f>+GETPIVOTDATA("Sum of New UG E-Learning",'Pivot Table for Fact Book'!$A$3,"State","NC","type",12,"type2","Techncial")</f>
        <v>0</v>
      </c>
      <c r="AD35" s="308">
        <f>+GETPIVOTDATA("Sum of Old UG E-Learning",'Pivot Table for Fact Book'!$A$3,"State","NC","type",13,"type2","Techncial")</f>
        <v>0</v>
      </c>
      <c r="AE35" s="308">
        <f>+GETPIVOTDATA("Sum of New UG E-Learning",'Pivot Table for Fact Book'!$A$3,"State","NC","type",13,"type2","Techncial")</f>
        <v>0</v>
      </c>
      <c r="AF35" s="312">
        <f>+GETPIVOTDATA("Sum of Old UG E-Learning",'Pivot Table for Fact Book'!$A$3,"State","NC","type2","Techncial")</f>
        <v>0</v>
      </c>
      <c r="AG35" s="312">
        <f>+GETPIVOTDATA("Sum of New UG E-Learning",'Pivot Table for Fact Book'!$A$3,"State","NC","type2","Techncial")</f>
        <v>0</v>
      </c>
    </row>
    <row r="36" spans="1:33">
      <c r="A36" s="320" t="s">
        <v>895</v>
      </c>
      <c r="B36" s="307">
        <f>GETPIVOTDATA("Sum of Old UG E-Learning",'Pivot Table for Fact Book'!$A$3,"State","OK","type",1,"Type2","Four-Year")</f>
        <v>152579</v>
      </c>
      <c r="C36" s="308">
        <f>GETPIVOTDATA("Sum of New UG E-Learning",'Pivot Table for Fact Book'!$A$3,"State","OK","type",1,"Type2","Four-Year")</f>
        <v>161110</v>
      </c>
      <c r="D36" s="307">
        <f>GETPIVOTDATA("Sum of Old UG E-Learning",'Pivot Table for Fact Book'!$A$3,"State","OK","type",2,"Type2","Four-Year")</f>
        <v>0</v>
      </c>
      <c r="E36" s="308">
        <f>GETPIVOTDATA("Sum of New UG E-Learning",'Pivot Table for Fact Book'!$A$3,"State","OK","type",2,"Type2","Four-Year")</f>
        <v>0</v>
      </c>
      <c r="F36" s="307">
        <f>GETPIVOTDATA("Sum of Old UG E-Learning",'Pivot Table for Fact Book'!$A$3,"State","OK","type",3,"Type2","Four-Year")</f>
        <v>114819</v>
      </c>
      <c r="G36" s="308">
        <f>GETPIVOTDATA("Sum of New UG E-Learning",'Pivot Table for Fact Book'!$A$3,"State","OK","type",3,"Type2","Four-Year")</f>
        <v>124338</v>
      </c>
      <c r="H36" s="307">
        <f>GETPIVOTDATA("Sum of Old UG E-Learning",'Pivot Table for Fact Book'!$A$3,"State","OK","type",4,"Type2","Four-Year")</f>
        <v>55296</v>
      </c>
      <c r="I36" s="308">
        <f>GETPIVOTDATA("Sum of New UG E-Learning",'Pivot Table for Fact Book'!$A$3,"State","OK","type",4,"Type2","Four-Year")</f>
        <v>58866</v>
      </c>
      <c r="J36" s="307">
        <f>GETPIVOTDATA("Sum of Old UG E-Learning",'Pivot Table for Fact Book'!$A$3,"State","OK","type",5,"Type2","Four-Year")</f>
        <v>65614</v>
      </c>
      <c r="K36" s="308">
        <f>GETPIVOTDATA("Sum of New UG E-Learning",'Pivot Table for Fact Book'!$A$3,"State","OK","type",5,"Type2","Four-Year")</f>
        <v>70154</v>
      </c>
      <c r="L36" s="307">
        <f>GETPIVOTDATA("Sum of Old UG E-Learning",'Pivot Table for Fact Book'!$A$3,"State","OK","type",6,"Type2","Four-Year")</f>
        <v>33021</v>
      </c>
      <c r="M36" s="308">
        <f>GETPIVOTDATA("Sum of New UG E-Learning",'Pivot Table for Fact Book'!$A$3,"State","OK","type",6,"Type2","Four-Year")</f>
        <v>31830</v>
      </c>
      <c r="N36" s="307">
        <f>GETPIVOTDATA("Sum of Old UG E-Learning",'Pivot Table for Fact Book'!$A$3,"State","OK","type",15,"Type2","Four-Year")</f>
        <v>0</v>
      </c>
      <c r="O36" s="308">
        <f>GETPIVOTDATA("Sum of New UG E-Learning",'Pivot Table for Fact Book'!$A$3,"State","OK","type",15,"Type2","Four-Year")</f>
        <v>0</v>
      </c>
      <c r="P36" s="309">
        <f>GETPIVOTDATA("Sum of Old UG E-Learning",'Pivot Table for Fact Book'!$A$3,"State","OK","Type2","Four-Year")</f>
        <v>421329</v>
      </c>
      <c r="Q36" s="309">
        <f>GETPIVOTDATA("Sum of New UG E-Learning",'Pivot Table for Fact Book'!$A$3,"State","OK","Type2","Four-Year")</f>
        <v>446298</v>
      </c>
      <c r="R36" s="307">
        <f>GETPIVOTDATA("Sum of Old UG E-Learning",'Pivot Table for Fact Book'!$A$3,"State","OK","type",7,"Type2","Two-Year")</f>
        <v>66352</v>
      </c>
      <c r="S36" s="308">
        <f>GETPIVOTDATA("Sum of New UG E-Learning",'Pivot Table for Fact Book'!$A$3,"State","OK","type",7,"Type2","Two-Year")</f>
        <v>71853</v>
      </c>
      <c r="T36" s="308">
        <f>GETPIVOTDATA("Sum of Old UG E-Learning",'Pivot Table for Fact Book'!$A$3,"State","OK","type",8,"Type2","Two-Year")</f>
        <v>170129</v>
      </c>
      <c r="U36" s="308">
        <f>GETPIVOTDATA("Sum of New UG E-Learning",'Pivot Table for Fact Book'!$A$3,"State","OK","type",8,"Type2","Two-Year")</f>
        <v>158129</v>
      </c>
      <c r="V36" s="308">
        <f>GETPIVOTDATA("Sum of Old UG E-Learning",'Pivot Table for Fact Book'!$A$3,"State","OK","type",9,"Type2","Two-Year")</f>
        <v>63319</v>
      </c>
      <c r="W36" s="308">
        <f>GETPIVOTDATA("Sum of New UG E-Learning",'Pivot Table for Fact Book'!$A$3,"State","OK","type",9,"Type2","Two-Year")</f>
        <v>62722</v>
      </c>
      <c r="X36" s="308">
        <f>GETPIVOTDATA("Sum of Old UG E-Learning",'Pivot Table for Fact Book'!$A$3,"State","OK","type",10,"Type2","Two-Year")</f>
        <v>92082</v>
      </c>
      <c r="Y36" s="308">
        <f>GETPIVOTDATA("Sum of New UG E-Learning",'Pivot Table for Fact Book'!$A$3,"State","OK","type",10,"Type2","Two-Year")</f>
        <v>98313</v>
      </c>
      <c r="Z36" s="310">
        <f>GETPIVOTDATA("Sum of Old UG E-Learning",'Pivot Table for Fact Book'!$A$3,"State","OK","Type2","Two-Year")</f>
        <v>391882</v>
      </c>
      <c r="AA36" s="310">
        <f>GETPIVOTDATA("Sum of New UG E-Learning",'Pivot Table for Fact Book'!$A$3,"State","OK","Type2","Two-Year")</f>
        <v>391017</v>
      </c>
      <c r="AB36" s="307">
        <f>+GETPIVOTDATA("Sum of Old UG E-Learning",'Pivot Table for Fact Book'!$A$3,"State","OK","type",12,"type2","Techncial")</f>
        <v>0</v>
      </c>
      <c r="AC36" s="308">
        <f>+GETPIVOTDATA("Sum of New UG E-Learning",'Pivot Table for Fact Book'!$A$3,"State","OK","type",12,"type2","Techncial")</f>
        <v>0</v>
      </c>
      <c r="AD36" s="308">
        <f>+GETPIVOTDATA("Sum of Old UG E-Learning",'Pivot Table for Fact Book'!$A$3,"State","OK","type",13,"type2","Techncial")</f>
        <v>0</v>
      </c>
      <c r="AE36" s="308">
        <f>+GETPIVOTDATA("Sum of New UG E-Learning",'Pivot Table for Fact Book'!$A$3,"State","OK","type",13,"type2","Techncial")</f>
        <v>0</v>
      </c>
      <c r="AF36" s="312">
        <f>+GETPIVOTDATA("Sum of Old UG E-Learning",'Pivot Table for Fact Book'!$A$3,"State","OK","type2","Techncial")</f>
        <v>0</v>
      </c>
      <c r="AG36" s="312">
        <f>+GETPIVOTDATA("Sum of New UG E-Learning",'Pivot Table for Fact Book'!$A$3,"State","OK","type2","Techncial")</f>
        <v>0</v>
      </c>
    </row>
    <row r="37" spans="1:33">
      <c r="A37" s="320" t="s">
        <v>896</v>
      </c>
      <c r="B37" s="307">
        <f>GETPIVOTDATA("Sum of Old UG E-Learning",'Pivot Table for Fact Book'!$A$3,"State","SC","type",1,"Type2","Four-Year")</f>
        <v>95154</v>
      </c>
      <c r="C37" s="308">
        <f>GETPIVOTDATA("Sum of New UG E-Learning",'Pivot Table for Fact Book'!$A$3,"State","SC","type",1,"Type2","Four-Year")</f>
        <v>119782</v>
      </c>
      <c r="D37" s="307">
        <f>GETPIVOTDATA("Sum of Old UG E-Learning",'Pivot Table for Fact Book'!$A$3,"State","SC","type",2,"Type2","Four-Year")</f>
        <v>0</v>
      </c>
      <c r="E37" s="308">
        <f>GETPIVOTDATA("Sum of New UG E-Learning",'Pivot Table for Fact Book'!$A$3,"State","SC","type",2,"Type2","Four-Year")</f>
        <v>0</v>
      </c>
      <c r="F37" s="307">
        <f>GETPIVOTDATA("Sum of Old UG E-Learning",'Pivot Table for Fact Book'!$A$3,"State","SC","type",3,"Type2","Four-Year")</f>
        <v>26547</v>
      </c>
      <c r="G37" s="308">
        <f>GETPIVOTDATA("Sum of New UG E-Learning",'Pivot Table for Fact Book'!$A$3,"State","SC","type",3,"Type2","Four-Year")</f>
        <v>37478</v>
      </c>
      <c r="H37" s="307">
        <f>GETPIVOTDATA("Sum of Old UG E-Learning",'Pivot Table for Fact Book'!$A$3,"State","SC","type",4,"Type2","Four-Year")</f>
        <v>0</v>
      </c>
      <c r="I37" s="308">
        <f>GETPIVOTDATA("Sum of New UG E-Learning",'Pivot Table for Fact Book'!$A$3,"State","SC","type",4,"Type2","Four-Year")</f>
        <v>0</v>
      </c>
      <c r="J37" s="307">
        <f>GETPIVOTDATA("Sum of Old UG E-Learning",'Pivot Table for Fact Book'!$A$3,"State","SC","type",5,"Type2","Four-Year")</f>
        <v>45656</v>
      </c>
      <c r="K37" s="308">
        <f>GETPIVOTDATA("Sum of New UG E-Learning",'Pivot Table for Fact Book'!$A$3,"State","SC","type",5,"Type2","Four-Year")</f>
        <v>53007</v>
      </c>
      <c r="L37" s="307">
        <f>GETPIVOTDATA("Sum of Old UG E-Learning",'Pivot Table for Fact Book'!$A$3,"State","SC","type",6,"Type2","Four-Year")</f>
        <v>46220</v>
      </c>
      <c r="M37" s="308">
        <f>GETPIVOTDATA("Sum of New UG E-Learning",'Pivot Table for Fact Book'!$A$3,"State","SC","type",6,"Type2","Four-Year")</f>
        <v>55293</v>
      </c>
      <c r="N37" s="307">
        <f>GETPIVOTDATA("Sum of Old UG E-Learning",'Pivot Table for Fact Book'!$A$3,"State","SC","type",15,"Type2","Four-Year")</f>
        <v>0</v>
      </c>
      <c r="O37" s="308">
        <f>GETPIVOTDATA("Sum of New UG E-Learning",'Pivot Table for Fact Book'!$A$3,"State","SC","type",15,"Type2","Four-Year")</f>
        <v>0</v>
      </c>
      <c r="P37" s="309">
        <f>GETPIVOTDATA("Sum of Old UG E-Learning",'Pivot Table for Fact Book'!$A$3,"State","SC","Type2","Four-Year")</f>
        <v>213577</v>
      </c>
      <c r="Q37" s="309">
        <f>GETPIVOTDATA("Sum of New UG E-Learning",'Pivot Table for Fact Book'!$A$3,"State","SC","Type2","Four-Year")</f>
        <v>265560</v>
      </c>
      <c r="R37" s="307">
        <f>GETPIVOTDATA("Sum of Old UG E-Learning",'Pivot Table for Fact Book'!$A$3,"State","SC","type",7,"Type2","Two-Year")</f>
        <v>0</v>
      </c>
      <c r="S37" s="308">
        <f>GETPIVOTDATA("Sum of New UG E-Learning",'Pivot Table for Fact Book'!$A$3,"State","SC","type",7,"Type2","Two-Year")</f>
        <v>0</v>
      </c>
      <c r="T37" s="308">
        <f>GETPIVOTDATA("Sum of Old UG E-Learning",'Pivot Table for Fact Book'!$A$3,"State","SC","type",8,"Type2","Two-Year")</f>
        <v>301763</v>
      </c>
      <c r="U37" s="308">
        <f>GETPIVOTDATA("Sum of New UG E-Learning",'Pivot Table for Fact Book'!$A$3,"State","SC","type",8,"Type2","Two-Year")</f>
        <v>325667</v>
      </c>
      <c r="V37" s="308">
        <f>GETPIVOTDATA("Sum of Old UG E-Learning",'Pivot Table for Fact Book'!$A$3,"State","SC","type",9,"Type2","Two-Year")</f>
        <v>212571</v>
      </c>
      <c r="W37" s="308">
        <f>GETPIVOTDATA("Sum of New UG E-Learning",'Pivot Table for Fact Book'!$A$3,"State","SC","type",9,"Type2","Two-Year")</f>
        <v>198956</v>
      </c>
      <c r="X37" s="308">
        <f>GETPIVOTDATA("Sum of Old UG E-Learning",'Pivot Table for Fact Book'!$A$3,"State","SC","type",10,"Type2","Two-Year")</f>
        <v>49787</v>
      </c>
      <c r="Y37" s="308">
        <f>GETPIVOTDATA("Sum of New UG E-Learning",'Pivot Table for Fact Book'!$A$3,"State","SC","type",10,"Type2","Two-Year")</f>
        <v>52079</v>
      </c>
      <c r="Z37" s="310">
        <f>GETPIVOTDATA("Sum of Old UG E-Learning",'Pivot Table for Fact Book'!$A$3,"State","SC","Type2","Two-Year")</f>
        <v>564121</v>
      </c>
      <c r="AA37" s="310">
        <f>GETPIVOTDATA("Sum of New UG E-Learning",'Pivot Table for Fact Book'!$A$3,"State","SC","Type2","Two-Year")</f>
        <v>576702</v>
      </c>
      <c r="AB37" s="307">
        <f>+GETPIVOTDATA("Sum of Old UG E-Learning",'Pivot Table for Fact Book'!$A$3,"State","SC","type",12,"type2","Techncial")</f>
        <v>0</v>
      </c>
      <c r="AC37" s="308">
        <f>+GETPIVOTDATA("Sum of New UG E-Learning",'Pivot Table for Fact Book'!$A$3,"State","SC","type",12,"type2","Techncial")</f>
        <v>0</v>
      </c>
      <c r="AD37" s="308">
        <f>+GETPIVOTDATA("Sum of Old UG E-Learning",'Pivot Table for Fact Book'!$A$3,"State","SC","type",13,"type2","Techncial")</f>
        <v>0</v>
      </c>
      <c r="AE37" s="308">
        <f>+GETPIVOTDATA("Sum of New UG E-Learning",'Pivot Table for Fact Book'!$A$3,"State","SC","type",13,"type2","Techncial")</f>
        <v>0</v>
      </c>
      <c r="AF37" s="312">
        <f>+GETPIVOTDATA("Sum of Old UG E-Learning",'Pivot Table for Fact Book'!$A$3,"State","SC","type2","Techncial")</f>
        <v>0</v>
      </c>
      <c r="AG37" s="312">
        <f>+GETPIVOTDATA("Sum of New UG E-Learning",'Pivot Table for Fact Book'!$A$3,"State","SC","type2","Techncial")</f>
        <v>0</v>
      </c>
    </row>
    <row r="38" spans="1:33">
      <c r="A38" s="320" t="s">
        <v>897</v>
      </c>
      <c r="B38" s="307">
        <f>GETPIVOTDATA("Sum of Old UG E-Learning",'Pivot Table for Fact Book'!$A$3,"State","TN","type",1,"Type2","Four-Year")</f>
        <v>129116</v>
      </c>
      <c r="C38" s="308">
        <f>GETPIVOTDATA("Sum of New UG E-Learning",'Pivot Table for Fact Book'!$A$3,"State","TN","type",1,"Type2","Four-Year")</f>
        <v>141822</v>
      </c>
      <c r="D38" s="307">
        <f>GETPIVOTDATA("Sum of Old UG E-Learning",'Pivot Table for Fact Book'!$A$3,"State","TN","type",2,"Type2","Four-Year")</f>
        <v>196240</v>
      </c>
      <c r="E38" s="308">
        <f>GETPIVOTDATA("Sum of New UG E-Learning",'Pivot Table for Fact Book'!$A$3,"State","TN","type",2,"Type2","Four-Year")</f>
        <v>197281</v>
      </c>
      <c r="F38" s="307">
        <f>GETPIVOTDATA("Sum of Old UG E-Learning",'Pivot Table for Fact Book'!$A$3,"State","TN","type",3,"Type2","Four-Year")</f>
        <v>210318</v>
      </c>
      <c r="G38" s="308">
        <f>GETPIVOTDATA("Sum of New UG E-Learning",'Pivot Table for Fact Book'!$A$3,"State","TN","type",3,"Type2","Four-Year")</f>
        <v>214242</v>
      </c>
      <c r="H38" s="307">
        <f>GETPIVOTDATA("Sum of Old UG E-Learning",'Pivot Table for Fact Book'!$A$3,"State","TN","type",4,"Type2","Four-Year")</f>
        <v>0</v>
      </c>
      <c r="I38" s="308">
        <f>GETPIVOTDATA("Sum of New UG E-Learning",'Pivot Table for Fact Book'!$A$3,"State","TN","type",4,"Type2","Four-Year")</f>
        <v>0</v>
      </c>
      <c r="J38" s="307">
        <f>GETPIVOTDATA("Sum of Old UG E-Learning",'Pivot Table for Fact Book'!$A$3,"State","TN","type",5,"Type2","Four-Year")</f>
        <v>22299</v>
      </c>
      <c r="K38" s="308">
        <f>GETPIVOTDATA("Sum of New UG E-Learning",'Pivot Table for Fact Book'!$A$3,"State","TN","type",5,"Type2","Four-Year")</f>
        <v>24874</v>
      </c>
      <c r="L38" s="307">
        <f>GETPIVOTDATA("Sum of Old UG E-Learning",'Pivot Table for Fact Book'!$A$3,"State","TN","type",6,"Type2","Four-Year")</f>
        <v>0</v>
      </c>
      <c r="M38" s="308">
        <f>GETPIVOTDATA("Sum of New UG E-Learning",'Pivot Table for Fact Book'!$A$3,"State","TN","type",6,"Type2","Four-Year")</f>
        <v>0</v>
      </c>
      <c r="N38" s="307">
        <f>GETPIVOTDATA("Sum of Old UG E-Learning",'Pivot Table for Fact Book'!$A$3,"State","TN","type",15,"Type2","Four-Year")</f>
        <v>0</v>
      </c>
      <c r="O38" s="308">
        <f>GETPIVOTDATA("Sum of New UG E-Learning",'Pivot Table for Fact Book'!$A$3,"State","TN","type",15,"Type2","Four-Year")</f>
        <v>0</v>
      </c>
      <c r="P38" s="309">
        <f>GETPIVOTDATA("Sum of Old UG E-Learning",'Pivot Table for Fact Book'!$A$3,"State","TN","Type2","Four-Year")</f>
        <v>557973</v>
      </c>
      <c r="Q38" s="309">
        <f>GETPIVOTDATA("Sum of New UG E-Learning",'Pivot Table for Fact Book'!$A$3,"State","TN","Type2","Four-Year")</f>
        <v>578219</v>
      </c>
      <c r="R38" s="307">
        <f>GETPIVOTDATA("Sum of Old UG E-Learning",'Pivot Table for Fact Book'!$A$3,"State","TN","type",7,"Type2","Two-Year")</f>
        <v>0</v>
      </c>
      <c r="S38" s="308">
        <f>GETPIVOTDATA("Sum of New UG E-Learning",'Pivot Table for Fact Book'!$A$3,"State","TN","type",7,"Type2","Two-Year")</f>
        <v>0</v>
      </c>
      <c r="T38" s="308">
        <f>GETPIVOTDATA("Sum of Old UG E-Learning",'Pivot Table for Fact Book'!$A$3,"State","TN","type",8,"Type2","Two-Year")</f>
        <v>218851</v>
      </c>
      <c r="U38" s="308">
        <f>GETPIVOTDATA("Sum of New UG E-Learning",'Pivot Table for Fact Book'!$A$3,"State","TN","type",8,"Type2","Two-Year")</f>
        <v>226834</v>
      </c>
      <c r="V38" s="308">
        <f>GETPIVOTDATA("Sum of Old UG E-Learning",'Pivot Table for Fact Book'!$A$3,"State","TN","type",9,"Type2","Two-Year")</f>
        <v>189308</v>
      </c>
      <c r="W38" s="308">
        <f>GETPIVOTDATA("Sum of New UG E-Learning",'Pivot Table for Fact Book'!$A$3,"State","TN","type",9,"Type2","Two-Year")</f>
        <v>202335</v>
      </c>
      <c r="X38" s="308">
        <f>GETPIVOTDATA("Sum of Old UG E-Learning",'Pivot Table for Fact Book'!$A$3,"State","TN","type",10,"Type2","Two-Year")</f>
        <v>13115</v>
      </c>
      <c r="Y38" s="308">
        <f>GETPIVOTDATA("Sum of New UG E-Learning",'Pivot Table for Fact Book'!$A$3,"State","TN","type",10,"Type2","Two-Year")</f>
        <v>13754</v>
      </c>
      <c r="Z38" s="310">
        <f>GETPIVOTDATA("Sum of Old UG E-Learning",'Pivot Table for Fact Book'!$A$3,"State","TN","Type2","Two-Year")</f>
        <v>421274</v>
      </c>
      <c r="AA38" s="310">
        <f>GETPIVOTDATA("Sum of New UG E-Learning",'Pivot Table for Fact Book'!$A$3,"State","TN","Type2","Two-Year")</f>
        <v>442923</v>
      </c>
      <c r="AB38" s="307">
        <f>+GETPIVOTDATA("Sum of Old UG E-Learning",'Pivot Table for Fact Book'!$A$3,"State","TN","type",12,"type2","Techncial")</f>
        <v>0</v>
      </c>
      <c r="AC38" s="308">
        <f>+GETPIVOTDATA("Sum of New UG E-Learning",'Pivot Table for Fact Book'!$A$3,"State","TN","type",12,"type2","Techncial")</f>
        <v>0</v>
      </c>
      <c r="AD38" s="308">
        <f>+GETPIVOTDATA("Sum of Old UG E-Learning",'Pivot Table for Fact Book'!$A$3,"State","TN","type",13,"type2","Techncial")</f>
        <v>0</v>
      </c>
      <c r="AE38" s="308">
        <f>+GETPIVOTDATA("Sum of New UG E-Learning",'Pivot Table for Fact Book'!$A$3,"State","TN","type",13,"type2","Techncial")</f>
        <v>0</v>
      </c>
      <c r="AF38" s="312">
        <f>+GETPIVOTDATA("Sum of Old UG E-Learning",'Pivot Table for Fact Book'!$A$3,"State","TN","type2","Techncial")</f>
        <v>0</v>
      </c>
      <c r="AG38" s="312">
        <f>+GETPIVOTDATA("Sum of New UG E-Learning",'Pivot Table for Fact Book'!$A$3,"State","TN","type2","Techncial")</f>
        <v>0</v>
      </c>
    </row>
    <row r="39" spans="1:33">
      <c r="A39" s="320" t="s">
        <v>898</v>
      </c>
      <c r="B39" s="307">
        <f>GETPIVOTDATA("Sum of Old UG E-Learning",'Pivot Table for Fact Book'!$A$3,"State","TX","type",1,"Type2","Four-Year")</f>
        <v>954149</v>
      </c>
      <c r="C39" s="308">
        <f>GETPIVOTDATA("Sum of New UG E-Learning",'Pivot Table for Fact Book'!$A$3,"State","TX","type",1,"Type2","Four-Year")</f>
        <v>1100552</v>
      </c>
      <c r="D39" s="307">
        <f>GETPIVOTDATA("Sum of Old UG E-Learning",'Pivot Table for Fact Book'!$A$3,"State","TX","type",2,"Type2","Four-Year")</f>
        <v>216433</v>
      </c>
      <c r="E39" s="308">
        <f>GETPIVOTDATA("Sum of New UG E-Learning",'Pivot Table for Fact Book'!$A$3,"State","TX","type",2,"Type2","Four-Year")</f>
        <v>229518</v>
      </c>
      <c r="F39" s="307">
        <f>GETPIVOTDATA("Sum of Old UG E-Learning",'Pivot Table for Fact Book'!$A$3,"State","TX","type",3,"Type2","Four-Year")</f>
        <v>767980</v>
      </c>
      <c r="G39" s="308">
        <f>GETPIVOTDATA("Sum of New UG E-Learning",'Pivot Table for Fact Book'!$A$3,"State","TX","type",3,"Type2","Four-Year")</f>
        <v>909072</v>
      </c>
      <c r="H39" s="307">
        <f>GETPIVOTDATA("Sum of Old UG E-Learning",'Pivot Table for Fact Book'!$A$3,"State","TX","type",4,"Type2","Four-Year")</f>
        <v>71542</v>
      </c>
      <c r="I39" s="308">
        <f>GETPIVOTDATA("Sum of New UG E-Learning",'Pivot Table for Fact Book'!$A$3,"State","TX","type",4,"Type2","Four-Year")</f>
        <v>77052</v>
      </c>
      <c r="J39" s="307">
        <f>GETPIVOTDATA("Sum of Old UG E-Learning",'Pivot Table for Fact Book'!$A$3,"State","TX","type",5,"Type2","Four-Year")</f>
        <v>140878</v>
      </c>
      <c r="K39" s="308">
        <f>GETPIVOTDATA("Sum of New UG E-Learning",'Pivot Table for Fact Book'!$A$3,"State","TX","type",5,"Type2","Four-Year")</f>
        <v>166973</v>
      </c>
      <c r="L39" s="307">
        <f>GETPIVOTDATA("Sum of Old UG E-Learning",'Pivot Table for Fact Book'!$A$3,"State","TX","type",6,"Type2","Four-Year")</f>
        <v>0</v>
      </c>
      <c r="M39" s="308">
        <f>GETPIVOTDATA("Sum of New UG E-Learning",'Pivot Table for Fact Book'!$A$3,"State","TX","type",6,"Type2","Four-Year")</f>
        <v>0</v>
      </c>
      <c r="N39" s="307">
        <f>GETPIVOTDATA("Sum of Old UG E-Learning",'Pivot Table for Fact Book'!$A$3,"State","TX","type",15,"Type2","Four-Year")</f>
        <v>0</v>
      </c>
      <c r="O39" s="308">
        <f>GETPIVOTDATA("Sum of New UG E-Learning",'Pivot Table for Fact Book'!$A$3,"State","TX","type",15,"Type2","Four-Year")</f>
        <v>0</v>
      </c>
      <c r="P39" s="309">
        <f>GETPIVOTDATA("Sum of Old UG E-Learning",'Pivot Table for Fact Book'!$A$3,"State","TX","Type2","Four-Year")</f>
        <v>2150982</v>
      </c>
      <c r="Q39" s="309">
        <f>GETPIVOTDATA("Sum of New UG E-Learning",'Pivot Table for Fact Book'!$A$3,"State","TX","Type2","Four-Year")</f>
        <v>2483167</v>
      </c>
      <c r="R39" s="307">
        <f>GETPIVOTDATA("Sum of Old UG E-Learning",'Pivot Table for Fact Book'!$A$3,"State","TX","type",7,"Type2","Two-Year")</f>
        <v>191730</v>
      </c>
      <c r="S39" s="308">
        <f>GETPIVOTDATA("Sum of New UG E-Learning",'Pivot Table for Fact Book'!$A$3,"State","TX","type",7,"Type2","Two-Year")</f>
        <v>198249</v>
      </c>
      <c r="T39" s="308">
        <f>GETPIVOTDATA("Sum of Old UG E-Learning",'Pivot Table for Fact Book'!$A$3,"State","TX","type",8,"Type2","Two-Year")</f>
        <v>2573472</v>
      </c>
      <c r="U39" s="308">
        <f>GETPIVOTDATA("Sum of New UG E-Learning",'Pivot Table for Fact Book'!$A$3,"State","TX","type",8,"Type2","Two-Year")</f>
        <v>2751657</v>
      </c>
      <c r="V39" s="308">
        <f>GETPIVOTDATA("Sum of Old UG E-Learning",'Pivot Table for Fact Book'!$A$3,"State","TX","type",9,"Type2","Two-Year")</f>
        <v>672756</v>
      </c>
      <c r="W39" s="308">
        <f>GETPIVOTDATA("Sum of New UG E-Learning",'Pivot Table for Fact Book'!$A$3,"State","TX","type",9,"Type2","Two-Year")</f>
        <v>727396</v>
      </c>
      <c r="X39" s="308">
        <f>GETPIVOTDATA("Sum of Old UG E-Learning",'Pivot Table for Fact Book'!$A$3,"State","TX","type",10,"Type2","Two-Year")</f>
        <v>181609</v>
      </c>
      <c r="Y39" s="308">
        <f>GETPIVOTDATA("Sum of New UG E-Learning",'Pivot Table for Fact Book'!$A$3,"State","TX","type",10,"Type2","Two-Year")</f>
        <v>190569</v>
      </c>
      <c r="Z39" s="310">
        <f>GETPIVOTDATA("Sum of Old UG E-Learning",'Pivot Table for Fact Book'!$A$3,"State","TX","Type2","Two-Year")</f>
        <v>3619567</v>
      </c>
      <c r="AA39" s="310">
        <f>GETPIVOTDATA("Sum of New UG E-Learning",'Pivot Table for Fact Book'!$A$3,"State","TX","Type2","Two-Year")</f>
        <v>3867871</v>
      </c>
      <c r="AB39" s="307">
        <f>+GETPIVOTDATA("Sum of Old UG E-Learning",'Pivot Table for Fact Book'!$A$3,"State","TX","type",12,"type2","Techncial")</f>
        <v>0</v>
      </c>
      <c r="AC39" s="308">
        <f>+GETPIVOTDATA("Sum of New UG E-Learning",'Pivot Table for Fact Book'!$A$3,"State","TX","type",12,"type2","Techncial")</f>
        <v>0</v>
      </c>
      <c r="AD39" s="308">
        <f>+GETPIVOTDATA("Sum of Old UG E-Learning",'Pivot Table for Fact Book'!$A$3,"State","TX","type",13,"type2","Techncial")</f>
        <v>0</v>
      </c>
      <c r="AE39" s="308">
        <f>+GETPIVOTDATA("Sum of New UG E-Learning",'Pivot Table for Fact Book'!$A$3,"State","TX","type",13,"type2","Techncial")</f>
        <v>0</v>
      </c>
      <c r="AF39" s="312">
        <f>+GETPIVOTDATA("Sum of Old UG E-Learning",'Pivot Table for Fact Book'!$A$3,"State","TX","type2","Techncial")</f>
        <v>0</v>
      </c>
      <c r="AG39" s="312">
        <f>+GETPIVOTDATA("Sum of New UG E-Learning",'Pivot Table for Fact Book'!$A$3,"State","TX","type2","Techncial")</f>
        <v>0</v>
      </c>
    </row>
    <row r="40" spans="1:33">
      <c r="A40" s="320" t="s">
        <v>899</v>
      </c>
      <c r="B40" s="307">
        <f>GETPIVOTDATA("Sum of Old UG E-Learning",'Pivot Table for Fact Book'!$A$3,"State","VA","type",1,"Type2","Four-Year")</f>
        <v>267786</v>
      </c>
      <c r="C40" s="308">
        <f>GETPIVOTDATA("Sum of New UG E-Learning",'Pivot Table for Fact Book'!$A$3,"State","VA","type",1,"Type2","Four-Year")</f>
        <v>302166</v>
      </c>
      <c r="D40" s="307">
        <f>GETPIVOTDATA("Sum of Old UG E-Learning",'Pivot Table for Fact Book'!$A$3,"State","VA","type",2,"Type2","Four-Year")</f>
        <v>451</v>
      </c>
      <c r="E40" s="308">
        <f>GETPIVOTDATA("Sum of New UG E-Learning",'Pivot Table for Fact Book'!$A$3,"State","VA","type",2,"Type2","Four-Year")</f>
        <v>651</v>
      </c>
      <c r="F40" s="307">
        <f>GETPIVOTDATA("Sum of Old UG E-Learning",'Pivot Table for Fact Book'!$A$3,"State","VA","type",3,"Type2","Four-Year")</f>
        <v>96476</v>
      </c>
      <c r="G40" s="308">
        <f>GETPIVOTDATA("Sum of New UG E-Learning",'Pivot Table for Fact Book'!$A$3,"State","VA","type",3,"Type2","Four-Year")</f>
        <v>113881</v>
      </c>
      <c r="H40" s="307">
        <f>GETPIVOTDATA("Sum of Old UG E-Learning",'Pivot Table for Fact Book'!$A$3,"State","VA","type",4,"Type2","Four-Year")</f>
        <v>0</v>
      </c>
      <c r="I40" s="308">
        <f>GETPIVOTDATA("Sum of New UG E-Learning",'Pivot Table for Fact Book'!$A$3,"State","VA","type",4,"Type2","Four-Year")</f>
        <v>0</v>
      </c>
      <c r="J40" s="307">
        <f>GETPIVOTDATA("Sum of Old UG E-Learning",'Pivot Table for Fact Book'!$A$3,"State","VA","type",5,"Type2","Four-Year")</f>
        <v>0</v>
      </c>
      <c r="K40" s="308">
        <f>GETPIVOTDATA("Sum of New UG E-Learning",'Pivot Table for Fact Book'!$A$3,"State","VA","type",5,"Type2","Four-Year")</f>
        <v>0</v>
      </c>
      <c r="L40" s="307">
        <f>GETPIVOTDATA("Sum of Old UG E-Learning",'Pivot Table for Fact Book'!$A$3,"State","VA","type",6,"Type2","Four-Year")</f>
        <v>9810</v>
      </c>
      <c r="M40" s="308">
        <f>GETPIVOTDATA("Sum of New UG E-Learning",'Pivot Table for Fact Book'!$A$3,"State","VA","type",6,"Type2","Four-Year")</f>
        <v>10839</v>
      </c>
      <c r="N40" s="307">
        <f>GETPIVOTDATA("Sum of Old UG E-Learning",'Pivot Table for Fact Book'!$A$3,"State","VA","type",15,"Type2","Four-Year")</f>
        <v>0</v>
      </c>
      <c r="O40" s="308">
        <f>GETPIVOTDATA("Sum of New UG E-Learning",'Pivot Table for Fact Book'!$A$3,"State","VA","type",15,"Type2","Four-Year")</f>
        <v>0</v>
      </c>
      <c r="P40" s="309">
        <f>GETPIVOTDATA("Sum of Old UG E-Learning",'Pivot Table for Fact Book'!$A$3,"State","VA","Type2","Four-Year")</f>
        <v>374523</v>
      </c>
      <c r="Q40" s="309">
        <f>GETPIVOTDATA("Sum of New UG E-Learning",'Pivot Table for Fact Book'!$A$3,"State","VA","Type2","Four-Year")</f>
        <v>427537</v>
      </c>
      <c r="R40" s="307">
        <f>GETPIVOTDATA("Sum of Old UG E-Learning",'Pivot Table for Fact Book'!$A$3,"State","VA","type",7,"Type2","Two-Year")</f>
        <v>0</v>
      </c>
      <c r="S40" s="308">
        <f>GETPIVOTDATA("Sum of New UG E-Learning",'Pivot Table for Fact Book'!$A$3,"State","VA","type",7,"Type2","Two-Year")</f>
        <v>0</v>
      </c>
      <c r="T40" s="308">
        <f>GETPIVOTDATA("Sum of Old UG E-Learning",'Pivot Table for Fact Book'!$A$3,"State","VA","type",8,"Type2","Two-Year")</f>
        <v>564781</v>
      </c>
      <c r="U40" s="308">
        <f>GETPIVOTDATA("Sum of New UG E-Learning",'Pivot Table for Fact Book'!$A$3,"State","VA","type",8,"Type2","Two-Year")</f>
        <v>543540</v>
      </c>
      <c r="V40" s="308">
        <f>GETPIVOTDATA("Sum of Old UG E-Learning",'Pivot Table for Fact Book'!$A$3,"State","VA","type",9,"Type2","Two-Year")</f>
        <v>250461</v>
      </c>
      <c r="W40" s="308">
        <f>GETPIVOTDATA("Sum of New UG E-Learning",'Pivot Table for Fact Book'!$A$3,"State","VA","type",9,"Type2","Two-Year")</f>
        <v>245499</v>
      </c>
      <c r="X40" s="308">
        <f>GETPIVOTDATA("Sum of Old UG E-Learning",'Pivot Table for Fact Book'!$A$3,"State","VA","type",10,"Type2","Two-Year")</f>
        <v>158413</v>
      </c>
      <c r="Y40" s="308">
        <f>GETPIVOTDATA("Sum of New UG E-Learning",'Pivot Table for Fact Book'!$A$3,"State","VA","type",10,"Type2","Two-Year")</f>
        <v>154200</v>
      </c>
      <c r="Z40" s="310">
        <f>GETPIVOTDATA("Sum of Old UG E-Learning",'Pivot Table for Fact Book'!$A$3,"State","VA","Type2","Two-Year")</f>
        <v>973655</v>
      </c>
      <c r="AA40" s="310">
        <f>GETPIVOTDATA("Sum of New UG E-Learning",'Pivot Table for Fact Book'!$A$3,"State","VA","Type2","Two-Year")</f>
        <v>943239</v>
      </c>
      <c r="AB40" s="307">
        <f>+GETPIVOTDATA("Sum of Old UG E-Learning",'Pivot Table for Fact Book'!$A$3,"State","VA","type",12,"type2","Techncial")</f>
        <v>0</v>
      </c>
      <c r="AC40" s="308">
        <f>+GETPIVOTDATA("Sum of New UG E-Learning",'Pivot Table for Fact Book'!$A$3,"State","VA","type",12,"type2","Techncial")</f>
        <v>0</v>
      </c>
      <c r="AD40" s="308">
        <f>+GETPIVOTDATA("Sum of Old UG E-Learning",'Pivot Table for Fact Book'!$A$3,"State","VA","type",13,"type2","Techncial")</f>
        <v>0</v>
      </c>
      <c r="AE40" s="308">
        <f>+GETPIVOTDATA("Sum of New UG E-Learning",'Pivot Table for Fact Book'!$A$3,"State","VA","type",13,"type2","Techncial")</f>
        <v>0</v>
      </c>
      <c r="AF40" s="312">
        <f>+GETPIVOTDATA("Sum of Old UG E-Learning",'Pivot Table for Fact Book'!$A$3,"State","VA","type2","Techncial")</f>
        <v>0</v>
      </c>
      <c r="AG40" s="312">
        <f>+GETPIVOTDATA("Sum of New UG E-Learning",'Pivot Table for Fact Book'!$A$3,"State","VA","type2","Techncial")</f>
        <v>0</v>
      </c>
    </row>
    <row r="41" spans="1:33">
      <c r="A41" s="341" t="s">
        <v>900</v>
      </c>
      <c r="B41" s="313">
        <f>GETPIVOTDATA("Sum of Old UG E-Learning",'Pivot Table for Fact Book'!$A$3,"State","WV","type",1,"Type2","Four-Year")</f>
        <v>68747</v>
      </c>
      <c r="C41" s="314">
        <f>GETPIVOTDATA("Sum of New UG E-Learning",'Pivot Table for Fact Book'!$A$3,"State","WV","type",1,"Type2","Four-Year")</f>
        <v>75292</v>
      </c>
      <c r="D41" s="313">
        <f>GETPIVOTDATA("Sum of Old UG E-Learning",'Pivot Table for Fact Book'!$A$3,"State","WV","type",2,"Type2","Four-Year")</f>
        <v>0</v>
      </c>
      <c r="E41" s="314">
        <f>GETPIVOTDATA("Sum of New UG E-Learning",'Pivot Table for Fact Book'!$A$3,"State","WV","type",2,"Type2","Four-Year")</f>
        <v>0</v>
      </c>
      <c r="F41" s="313">
        <f>GETPIVOTDATA("Sum of Old UG E-Learning",'Pivot Table for Fact Book'!$A$3,"State","WV","type",3,"Type2","Four-Year")</f>
        <v>38528</v>
      </c>
      <c r="G41" s="314">
        <f>GETPIVOTDATA("Sum of New UG E-Learning",'Pivot Table for Fact Book'!$A$3,"State","WV","type",3,"Type2","Four-Year")</f>
        <v>43751</v>
      </c>
      <c r="H41" s="313">
        <f>GETPIVOTDATA("Sum of Old UG E-Learning",'Pivot Table for Fact Book'!$A$3,"State","WV","type",4,"Type2","Four-Year")</f>
        <v>0</v>
      </c>
      <c r="I41" s="314">
        <f>GETPIVOTDATA("Sum of New UG E-Learning",'Pivot Table for Fact Book'!$A$3,"State","WV","type",4,"Type2","Four-Year")</f>
        <v>0</v>
      </c>
      <c r="J41" s="313">
        <f>GETPIVOTDATA("Sum of Old UG E-Learning",'Pivot Table for Fact Book'!$A$3,"State","WV","type",5,"Type2","Four-Year")</f>
        <v>43906</v>
      </c>
      <c r="K41" s="314">
        <f>GETPIVOTDATA("Sum of New UG E-Learning",'Pivot Table for Fact Book'!$A$3,"State","WV","type",5,"Type2","Four-Year")</f>
        <v>40246</v>
      </c>
      <c r="L41" s="313">
        <f>GETPIVOTDATA("Sum of Old UG E-Learning",'Pivot Table for Fact Book'!$A$3,"State","WV","type",6,"Type2","Four-Year")</f>
        <v>41678</v>
      </c>
      <c r="M41" s="314">
        <f>GETPIVOTDATA("Sum of New UG E-Learning",'Pivot Table for Fact Book'!$A$3,"State","WV","type",6,"Type2","Four-Year")</f>
        <v>45336</v>
      </c>
      <c r="N41" s="313">
        <f>GETPIVOTDATA("Sum of Old UG E-Learning",'Pivot Table for Fact Book'!$A$3,"State","WV","type",15,"Type2","Four-Year")</f>
        <v>0</v>
      </c>
      <c r="O41" s="314">
        <f>GETPIVOTDATA("Sum of New UG E-Learning",'Pivot Table for Fact Book'!$A$3,"State","WV","type",15,"Type2","Four-Year")</f>
        <v>0</v>
      </c>
      <c r="P41" s="315">
        <f>GETPIVOTDATA("Sum of Old UG E-Learning",'Pivot Table for Fact Book'!$A$3,"State","WV","Type2","Four-Year")</f>
        <v>192859</v>
      </c>
      <c r="Q41" s="315">
        <f>GETPIVOTDATA("Sum of New UG E-Learning",'Pivot Table for Fact Book'!$A$3,"State","WV","Type2","Four-Year")</f>
        <v>204625</v>
      </c>
      <c r="R41" s="313">
        <f>GETPIVOTDATA("Sum of Old UG E-Learning",'Pivot Table for Fact Book'!$A$3,"State","WV","type",7,"Type2","Two-Year")</f>
        <v>21018</v>
      </c>
      <c r="S41" s="314">
        <f>GETPIVOTDATA("Sum of New UG E-Learning",'Pivot Table for Fact Book'!$A$3,"State","WV","type",7,"Type2","Two-Year")</f>
        <v>23034</v>
      </c>
      <c r="T41" s="314">
        <f>GETPIVOTDATA("Sum of Old UG E-Learning",'Pivot Table for Fact Book'!$A$3,"State","WV","type",8,"Type2","Two-Year")</f>
        <v>0</v>
      </c>
      <c r="U41" s="314">
        <f>GETPIVOTDATA("Sum of New UG E-Learning",'Pivot Table for Fact Book'!$A$3,"State","WV","type",8,"Type2","Two-Year")</f>
        <v>0</v>
      </c>
      <c r="V41" s="314">
        <f>GETPIVOTDATA("Sum of Old UG E-Learning",'Pivot Table for Fact Book'!$A$3,"State","WV","type",9,"Type2","Two-Year")</f>
        <v>0</v>
      </c>
      <c r="W41" s="314">
        <f>GETPIVOTDATA("Sum of New UG E-Learning",'Pivot Table for Fact Book'!$A$3,"State","WV","type",9,"Type2","Two-Year")</f>
        <v>0</v>
      </c>
      <c r="X41" s="314">
        <f>GETPIVOTDATA("Sum of Old UG E-Learning",'Pivot Table for Fact Book'!$A$3,"State","WV","type",10,"Type2","Two-Year")</f>
        <v>83485</v>
      </c>
      <c r="Y41" s="314">
        <f>GETPIVOTDATA("Sum of New UG E-Learning",'Pivot Table for Fact Book'!$A$3,"State","WV","type",10,"Type2","Two-Year")</f>
        <v>81466</v>
      </c>
      <c r="Z41" s="316">
        <f>GETPIVOTDATA("Sum of Old UG E-Learning",'Pivot Table for Fact Book'!$A$3,"State","WV","Type2","Two-Year")</f>
        <v>104503</v>
      </c>
      <c r="AA41" s="316">
        <f>GETPIVOTDATA("Sum of New UG E-Learning",'Pivot Table for Fact Book'!$A$3,"State","WV","Type2","Two-Year")</f>
        <v>104500</v>
      </c>
      <c r="AB41" s="313">
        <f>+GETPIVOTDATA("Sum of Old UG E-Learning",'Pivot Table for Fact Book'!$A$3,"State","WV","type",12,"type2","Techncial")</f>
        <v>0</v>
      </c>
      <c r="AC41" s="314">
        <f>+GETPIVOTDATA("Sum of New UG E-Learning",'Pivot Table for Fact Book'!$A$3,"State","WV","type",12,"type2","Techncial")</f>
        <v>0</v>
      </c>
      <c r="AD41" s="314">
        <f>+GETPIVOTDATA("Sum of Old UG E-Learning",'Pivot Table for Fact Book'!$A$3,"State","WV","type",13,"type2","Techncial")</f>
        <v>0</v>
      </c>
      <c r="AE41" s="314">
        <f>+GETPIVOTDATA("Sum of New UG E-Learning",'Pivot Table for Fact Book'!$A$3,"State","WV","type",13,"type2","Techncial")</f>
        <v>0</v>
      </c>
      <c r="AF41" s="318">
        <f>+GETPIVOTDATA("Sum of Old UG E-Learning",'Pivot Table for Fact Book'!$A$3,"State","WV","type2","Techncial")</f>
        <v>0</v>
      </c>
      <c r="AG41" s="318">
        <f>+GETPIVOTDATA("Sum of New UG E-Learning",'Pivot Table for Fact Book'!$A$3,"State","WV","type2","Techncial")</f>
        <v>0</v>
      </c>
    </row>
    <row r="43" spans="1:33">
      <c r="A43" s="319" t="s">
        <v>902</v>
      </c>
    </row>
    <row r="44" spans="1:33">
      <c r="B44" s="321" t="s">
        <v>881</v>
      </c>
      <c r="C44" s="322"/>
      <c r="D44" s="322"/>
      <c r="E44" s="322"/>
      <c r="F44" s="322"/>
      <c r="G44" s="322"/>
      <c r="H44" s="322"/>
      <c r="I44" s="322"/>
      <c r="J44" s="322"/>
      <c r="K44" s="322"/>
      <c r="L44" s="322"/>
      <c r="M44" s="322"/>
      <c r="N44" s="322"/>
      <c r="O44" s="322"/>
      <c r="P44" s="322"/>
      <c r="Q44" s="322"/>
    </row>
    <row r="45" spans="1:33">
      <c r="B45" s="327">
        <v>1</v>
      </c>
      <c r="C45" s="328"/>
      <c r="D45" s="327">
        <v>2</v>
      </c>
      <c r="E45" s="328"/>
      <c r="F45" s="327">
        <v>3</v>
      </c>
      <c r="G45" s="328"/>
      <c r="H45" s="327">
        <v>4</v>
      </c>
      <c r="I45" s="328"/>
      <c r="J45" s="327">
        <v>5</v>
      </c>
      <c r="K45" s="328"/>
      <c r="L45" s="327">
        <v>6</v>
      </c>
      <c r="M45" s="328"/>
      <c r="N45" s="327">
        <v>15</v>
      </c>
      <c r="O45" s="328"/>
      <c r="P45" s="327" t="s">
        <v>884</v>
      </c>
      <c r="Q45" s="329"/>
    </row>
    <row r="46" spans="1:33" s="343" customFormat="1">
      <c r="A46" s="342"/>
      <c r="B46" s="335">
        <v>2014</v>
      </c>
      <c r="C46" s="336">
        <v>2015</v>
      </c>
      <c r="D46" s="335">
        <v>2014</v>
      </c>
      <c r="E46" s="336">
        <v>2015</v>
      </c>
      <c r="F46" s="335">
        <v>2014</v>
      </c>
      <c r="G46" s="336">
        <v>2015</v>
      </c>
      <c r="H46" s="335">
        <v>2014</v>
      </c>
      <c r="I46" s="336">
        <v>2015</v>
      </c>
      <c r="J46" s="335">
        <v>2014</v>
      </c>
      <c r="K46" s="336">
        <v>2015</v>
      </c>
      <c r="L46" s="335">
        <v>2014</v>
      </c>
      <c r="M46" s="336">
        <v>2015</v>
      </c>
      <c r="N46" s="335">
        <v>2014</v>
      </c>
      <c r="O46" s="336">
        <v>2015</v>
      </c>
      <c r="P46" s="335">
        <v>2014</v>
      </c>
      <c r="Q46" s="336">
        <v>2015</v>
      </c>
    </row>
    <row r="47" spans="1:33">
      <c r="A47" s="320" t="s">
        <v>885</v>
      </c>
      <c r="B47" s="307">
        <f>GETPIVOTDATA("Sum of Old-Tot G SCH Calc",'Pivot Table for Fact Book'!$A$3,"State","AL","type",1,"Type2","Four-Year")</f>
        <v>200352</v>
      </c>
      <c r="C47" s="308">
        <f>GETPIVOTDATA("Sum of New-Tot G SCH Calc",'Pivot Table for Fact Book'!$A$3,"State","AL","type",1,"Type2","Four-Year")</f>
        <v>205520</v>
      </c>
      <c r="D47" s="307">
        <f>GETPIVOTDATA("Sum of Old-Tot G SCH Calc",'Pivot Table for Fact Book'!$A$3,"State","AL","type",2,"Type2","Four-Year")</f>
        <v>72836</v>
      </c>
      <c r="E47" s="308">
        <f>GETPIVOTDATA("Sum of New-Tot G SCH Calc",'Pivot Table for Fact Book'!$A$3,"State","AL","type",2,"Type2","Four-Year")</f>
        <v>81598</v>
      </c>
      <c r="F47" s="307">
        <f>GETPIVOTDATA("Sum of Old-Tot G SCH Calc",'Pivot Table for Fact Book'!$A$3,"State","AL","type",3,"Type2","Four-Year")</f>
        <v>106361</v>
      </c>
      <c r="G47" s="308">
        <f>GETPIVOTDATA("Sum of New-Tot G SCH Calc",'Pivot Table for Fact Book'!$A$3,"State","AL","type",3,"Type2","Four-Year")</f>
        <v>103573</v>
      </c>
      <c r="H47" s="307">
        <f>GETPIVOTDATA("Sum of Old-Tot G SCH Calc",'Pivot Table for Fact Book'!$A$3,"State","AL","type",4,"Type2","Four-Year")</f>
        <v>24138</v>
      </c>
      <c r="I47" s="308">
        <f>GETPIVOTDATA("Sum of New-Tot G SCH Calc",'Pivot Table for Fact Book'!$A$3,"State","AL","type",4,"Type2","Four-Year")</f>
        <v>23909</v>
      </c>
      <c r="J47" s="307">
        <f>GETPIVOTDATA("Sum of Old-Tot G SCH Calc",'Pivot Table for Fact Book'!$A$3,"State","AL","type",5,"Type2","Four-Year")</f>
        <v>43618</v>
      </c>
      <c r="K47" s="308">
        <f>GETPIVOTDATA("Sum of New-Tot G SCH Calc",'Pivot Table for Fact Book'!$A$3,"State","AL","type",5,"Type2","Four-Year")</f>
        <v>51593</v>
      </c>
      <c r="L47" s="307">
        <f>GETPIVOTDATA("Sum of Old-Tot G SCH Calc",'Pivot Table for Fact Book'!$A$3,"State","AL","type",6,"Type2","Four-Year")</f>
        <v>309</v>
      </c>
      <c r="M47" s="308">
        <f>GETPIVOTDATA("Sum of New-Tot G SCH Calc",'Pivot Table for Fact Book'!$A$3,"State","AL","type",6,"Type2","Four-Year")</f>
        <v>1236</v>
      </c>
      <c r="N47" s="307">
        <f>GETPIVOTDATA("Sum of Old-Tot G SCH Calc",'Pivot Table for Fact Book'!$A$3,"State","AL","type",15,"Type2","Four-Year")</f>
        <v>0</v>
      </c>
      <c r="O47" s="308">
        <f>GETPIVOTDATA("Sum of New-Tot G SCH Calc",'Pivot Table for Fact Book'!$A$3,"State","AL","type",15,"Type2","Four-Year")</f>
        <v>0</v>
      </c>
      <c r="P47" s="309">
        <f>GETPIVOTDATA("Sum of Old-Tot G SCH Calc",'Pivot Table for Fact Book'!$A$3,"State","AL","Type2","Four-Year")</f>
        <v>447614</v>
      </c>
      <c r="Q47" s="309">
        <f>GETPIVOTDATA("Sum of New-Tot G SCH Calc",'Pivot Table for Fact Book'!$A$3,"State","AL","Type2","Four-Year")</f>
        <v>467429</v>
      </c>
    </row>
    <row r="48" spans="1:33">
      <c r="A48" s="320" t="s">
        <v>886</v>
      </c>
      <c r="B48" s="307">
        <f>GETPIVOTDATA("Sum of Old-Tot G SCH Calc",'Pivot Table for Fact Book'!$A$3,"State","AR","type",1,"Type2","Four-Year")</f>
        <v>81194</v>
      </c>
      <c r="C48" s="308">
        <f>GETPIVOTDATA("Sum of New-Tot G SCH Calc",'Pivot Table for Fact Book'!$A$3,"State","AR","type",1,"Type2","Four-Year")</f>
        <v>79947</v>
      </c>
      <c r="D48" s="307">
        <f>GETPIVOTDATA("Sum of Old-Tot G SCH Calc",'Pivot Table for Fact Book'!$A$3,"State","AR","type",2,"Type2","Four-Year")</f>
        <v>42496</v>
      </c>
      <c r="E48" s="308">
        <f>GETPIVOTDATA("Sum of New-Tot G SCH Calc",'Pivot Table for Fact Book'!$A$3,"State","AR","type",2,"Type2","Four-Year")</f>
        <v>42251</v>
      </c>
      <c r="F48" s="307">
        <f>GETPIVOTDATA("Sum of Old-Tot G SCH Calc",'Pivot Table for Fact Book'!$A$3,"State","AR","type",3,"Type2","Four-Year")</f>
        <v>145030</v>
      </c>
      <c r="G48" s="308">
        <f>GETPIVOTDATA("Sum of New-Tot G SCH Calc",'Pivot Table for Fact Book'!$A$3,"State","AR","type",3,"Type2","Four-Year")</f>
        <v>148729</v>
      </c>
      <c r="H48" s="307">
        <f>GETPIVOTDATA("Sum of Old-Tot G SCH Calc",'Pivot Table for Fact Book'!$A$3,"State","AR","type",4,"Type2","Four-Year")</f>
        <v>35757</v>
      </c>
      <c r="I48" s="308">
        <f>GETPIVOTDATA("Sum of New-Tot G SCH Calc",'Pivot Table for Fact Book'!$A$3,"State","AR","type",4,"Type2","Four-Year")</f>
        <v>30021</v>
      </c>
      <c r="J48" s="307">
        <f>GETPIVOTDATA("Sum of Old-Tot G SCH Calc",'Pivot Table for Fact Book'!$A$3,"State","AR","type",5,"Type2","Four-Year")</f>
        <v>4537</v>
      </c>
      <c r="K48" s="308">
        <f>GETPIVOTDATA("Sum of New-Tot G SCH Calc",'Pivot Table for Fact Book'!$A$3,"State","AR","type",5,"Type2","Four-Year")</f>
        <v>5793</v>
      </c>
      <c r="L48" s="307">
        <f>GETPIVOTDATA("Sum of Old-Tot G SCH Calc",'Pivot Table for Fact Book'!$A$3,"State","AR","type",6,"Type2","Four-Year")</f>
        <v>1646</v>
      </c>
      <c r="M48" s="308">
        <f>GETPIVOTDATA("Sum of New-Tot G SCH Calc",'Pivot Table for Fact Book'!$A$3,"State","AR","type",6,"Type2","Four-Year")</f>
        <v>1658</v>
      </c>
      <c r="N48" s="307">
        <f>GETPIVOTDATA("Sum of Old-Tot G SCH Calc",'Pivot Table for Fact Book'!$A$3,"State","AR","type",15,"Type2","Four-Year")</f>
        <v>66817</v>
      </c>
      <c r="O48" s="308">
        <f>GETPIVOTDATA("Sum of New-Tot G SCH Calc",'Pivot Table for Fact Book'!$A$3,"State","AR","type",15,"Type2","Four-Year")</f>
        <v>0</v>
      </c>
      <c r="P48" s="309">
        <f>GETPIVOTDATA("Sum of Old-Tot G SCH Calc",'Pivot Table for Fact Book'!$A$3,"State","AR","Type2","Four-Year")</f>
        <v>377477</v>
      </c>
      <c r="Q48" s="309">
        <f>GETPIVOTDATA("Sum of New-Tot G SCH Calc",'Pivot Table for Fact Book'!$A$3,"State","AR","Type2","Four-Year")</f>
        <v>308399</v>
      </c>
    </row>
    <row r="49" spans="1:17">
      <c r="A49" s="320" t="s">
        <v>887</v>
      </c>
      <c r="B49" s="307">
        <f>GETPIVOTDATA("Sum of Old-Tot G SCH Calc",'Pivot Table for Fact Book'!$A$3,"State","DE","type",1,"Type2","Four-Year")</f>
        <v>57909</v>
      </c>
      <c r="C49" s="308">
        <f>GETPIVOTDATA("Sum of New-Tot G SCH Calc",'Pivot Table for Fact Book'!$A$3,"State","DE","type",1,"Type2","Four-Year")</f>
        <v>64419</v>
      </c>
      <c r="D49" s="307">
        <f>GETPIVOTDATA("Sum of Old-Tot G SCH Calc",'Pivot Table for Fact Book'!$A$3,"State","DE","type",2,"Type2","Four-Year")</f>
        <v>0</v>
      </c>
      <c r="E49" s="308">
        <f>GETPIVOTDATA("Sum of New-Tot G SCH Calc",'Pivot Table for Fact Book'!$A$3,"State","DE","type",2,"Type2","Four-Year")</f>
        <v>0</v>
      </c>
      <c r="F49" s="307">
        <f>GETPIVOTDATA("Sum of Old-Tot G SCH Calc",'Pivot Table for Fact Book'!$A$3,"State","DE","type",3,"Type2","Four-Year")</f>
        <v>6146</v>
      </c>
      <c r="G49" s="308">
        <f>GETPIVOTDATA("Sum of New-Tot G SCH Calc",'Pivot Table for Fact Book'!$A$3,"State","DE","type",3,"Type2","Four-Year")</f>
        <v>5453</v>
      </c>
      <c r="H49" s="307">
        <f>GETPIVOTDATA("Sum of Old-Tot G SCH Calc",'Pivot Table for Fact Book'!$A$3,"State","DE","type",4,"Type2","Four-Year")</f>
        <v>0</v>
      </c>
      <c r="I49" s="308">
        <f>GETPIVOTDATA("Sum of New-Tot G SCH Calc",'Pivot Table for Fact Book'!$A$3,"State","DE","type",4,"Type2","Four-Year")</f>
        <v>0</v>
      </c>
      <c r="J49" s="307">
        <f>GETPIVOTDATA("Sum of Old-Tot G SCH Calc",'Pivot Table for Fact Book'!$A$3,"State","DE","type",5,"Type2","Four-Year")</f>
        <v>0</v>
      </c>
      <c r="K49" s="308">
        <f>GETPIVOTDATA("Sum of New-Tot G SCH Calc",'Pivot Table for Fact Book'!$A$3,"State","DE","type",5,"Type2","Four-Year")</f>
        <v>0</v>
      </c>
      <c r="L49" s="307">
        <f>GETPIVOTDATA("Sum of Old-Tot G SCH Calc",'Pivot Table for Fact Book'!$A$3,"State","DE","type",6,"Type2","Four-Year")</f>
        <v>0</v>
      </c>
      <c r="M49" s="308">
        <f>GETPIVOTDATA("Sum of New-Tot G SCH Calc",'Pivot Table for Fact Book'!$A$3,"State","DE","type",6,"Type2","Four-Year")</f>
        <v>0</v>
      </c>
      <c r="N49" s="307">
        <f>GETPIVOTDATA("Sum of Old-Tot G SCH Calc",'Pivot Table for Fact Book'!$A$3,"State","DE","type",15,"Type2","Four-Year")</f>
        <v>0</v>
      </c>
      <c r="O49" s="308">
        <f>GETPIVOTDATA("Sum of New-Tot G SCH Calc",'Pivot Table for Fact Book'!$A$3,"State","DE","type",15,"Type2","Four-Year")</f>
        <v>0</v>
      </c>
      <c r="P49" s="309">
        <f>GETPIVOTDATA("Sum of Old-Tot G SCH Calc",'Pivot Table for Fact Book'!$A$3,"State","DE","Type2","Four-Year")</f>
        <v>64055</v>
      </c>
      <c r="Q49" s="309">
        <f>GETPIVOTDATA("Sum of New-Tot G SCH Calc",'Pivot Table for Fact Book'!$A$3,"State","DE","Type2","Four-Year")</f>
        <v>69872</v>
      </c>
    </row>
    <row r="50" spans="1:17">
      <c r="A50" s="320" t="s">
        <v>888</v>
      </c>
      <c r="B50" s="307">
        <f>GETPIVOTDATA("Sum of Old-Tot G SCH Calc",'Pivot Table for Fact Book'!$A$3,"State","FL","type",1,"Type2","Four-Year")</f>
        <v>0</v>
      </c>
      <c r="C50" s="308">
        <f>GETPIVOTDATA("Sum of New-Tot G SCH Calc",'Pivot Table for Fact Book'!$A$3,"State","FL","type",1,"Type2","Four-Year")</f>
        <v>0</v>
      </c>
      <c r="D50" s="307">
        <f>GETPIVOTDATA("Sum of Old-Tot G SCH Calc",'Pivot Table for Fact Book'!$A$3,"State","FL","type",2,"Type2","Four-Year")</f>
        <v>0</v>
      </c>
      <c r="E50" s="308">
        <f>GETPIVOTDATA("Sum of New-Tot G SCH Calc",'Pivot Table for Fact Book'!$A$3,"State","FL","type",2,"Type2","Four-Year")</f>
        <v>0</v>
      </c>
      <c r="F50" s="307">
        <f>GETPIVOTDATA("Sum of Old-Tot G SCH Calc",'Pivot Table for Fact Book'!$A$3,"State","FL","type",3,"Type2","Four-Year")</f>
        <v>0</v>
      </c>
      <c r="G50" s="308">
        <f>GETPIVOTDATA("Sum of New-Tot G SCH Calc",'Pivot Table for Fact Book'!$A$3,"State","FL","type",3,"Type2","Four-Year")</f>
        <v>0</v>
      </c>
      <c r="H50" s="307">
        <f>GETPIVOTDATA("Sum of Old-Tot G SCH Calc",'Pivot Table for Fact Book'!$A$3,"State","FL","type",4,"Type2","Four-Year")</f>
        <v>0</v>
      </c>
      <c r="I50" s="308">
        <f>GETPIVOTDATA("Sum of New-Tot G SCH Calc",'Pivot Table for Fact Book'!$A$3,"State","FL","type",4,"Type2","Four-Year")</f>
        <v>0</v>
      </c>
      <c r="J50" s="307">
        <f>GETPIVOTDATA("Sum of Old-Tot G SCH Calc",'Pivot Table for Fact Book'!$A$3,"State","FL","type",5,"Type2","Four-Year")</f>
        <v>0</v>
      </c>
      <c r="K50" s="308">
        <f>GETPIVOTDATA("Sum of New-Tot G SCH Calc",'Pivot Table for Fact Book'!$A$3,"State","FL","type",5,"Type2","Four-Year")</f>
        <v>0</v>
      </c>
      <c r="L50" s="307">
        <f>GETPIVOTDATA("Sum of Old-Tot G SCH Calc",'Pivot Table for Fact Book'!$A$3,"State","FL","type",6,"Type2","Four-Year")</f>
        <v>0</v>
      </c>
      <c r="M50" s="308">
        <f>GETPIVOTDATA("Sum of New-Tot G SCH Calc",'Pivot Table for Fact Book'!$A$3,"State","FL","type",6,"Type2","Four-Year")</f>
        <v>0</v>
      </c>
      <c r="N50" s="307">
        <f>GETPIVOTDATA("Sum of Old-Tot G SCH Calc",'Pivot Table for Fact Book'!$A$3,"State","FL","type",15,"Type2","Four-Year")</f>
        <v>0</v>
      </c>
      <c r="O50" s="308">
        <f>GETPIVOTDATA("Sum of New-Tot G SCH Calc",'Pivot Table for Fact Book'!$A$3,"State","FL","type",15,"Type2","Four-Year")</f>
        <v>0</v>
      </c>
      <c r="P50" s="309">
        <f>GETPIVOTDATA("Sum of Old-Tot G SCH Calc",'Pivot Table for Fact Book'!$A$3,"State","FL","Type2","Four-Year")</f>
        <v>0</v>
      </c>
      <c r="Q50" s="309">
        <f>GETPIVOTDATA("Sum of New-Tot G SCH Calc",'Pivot Table for Fact Book'!$A$3,"State","FL","Type2","Four-Year")</f>
        <v>0</v>
      </c>
    </row>
    <row r="51" spans="1:17">
      <c r="A51" s="320" t="s">
        <v>889</v>
      </c>
      <c r="B51" s="307">
        <f>GETPIVOTDATA("Sum of Old-Tot G SCH Calc",'Pivot Table for Fact Book'!$A$3,"State","GA","type",1,"Type2","Four-Year")</f>
        <v>487666.8</v>
      </c>
      <c r="C51" s="308">
        <f>GETPIVOTDATA("Sum of New-Tot G SCH Calc",'Pivot Table for Fact Book'!$A$3,"State","GA","type",1,"Type2","Four-Year")</f>
        <v>487666.8</v>
      </c>
      <c r="D51" s="307">
        <f>GETPIVOTDATA("Sum of Old-Tot G SCH Calc",'Pivot Table for Fact Book'!$A$3,"State","GA","type",2,"Type2","Four-Year")</f>
        <v>278585.5</v>
      </c>
      <c r="E51" s="308">
        <f>GETPIVOTDATA("Sum of New-Tot G SCH Calc",'Pivot Table for Fact Book'!$A$3,"State","GA","type",2,"Type2","Four-Year")</f>
        <v>278585.5</v>
      </c>
      <c r="F51" s="307">
        <f>GETPIVOTDATA("Sum of Old-Tot G SCH Calc",'Pivot Table for Fact Book'!$A$3,"State","GA","type",3,"Type2","Four-Year")</f>
        <v>179225</v>
      </c>
      <c r="G51" s="308">
        <f>GETPIVOTDATA("Sum of New-Tot G SCH Calc",'Pivot Table for Fact Book'!$A$3,"State","GA","type",3,"Type2","Four-Year")</f>
        <v>179225</v>
      </c>
      <c r="H51" s="307">
        <f>GETPIVOTDATA("Sum of Old-Tot G SCH Calc",'Pivot Table for Fact Book'!$A$3,"State","GA","type",4,"Type2","Four-Year")</f>
        <v>291436</v>
      </c>
      <c r="I51" s="308">
        <f>GETPIVOTDATA("Sum of New-Tot G SCH Calc",'Pivot Table for Fact Book'!$A$3,"State","GA","type",4,"Type2","Four-Year")</f>
        <v>291436</v>
      </c>
      <c r="J51" s="307">
        <f>GETPIVOTDATA("Sum of Old-Tot G SCH Calc",'Pivot Table for Fact Book'!$A$3,"State","GA","type",5,"Type2","Four-Year")</f>
        <v>3819</v>
      </c>
      <c r="K51" s="308">
        <f>GETPIVOTDATA("Sum of New-Tot G SCH Calc",'Pivot Table for Fact Book'!$A$3,"State","GA","type",5,"Type2","Four-Year")</f>
        <v>3819</v>
      </c>
      <c r="L51" s="307">
        <f>GETPIVOTDATA("Sum of Old-Tot G SCH Calc",'Pivot Table for Fact Book'!$A$3,"State","GA","type",6,"Type2","Four-Year")</f>
        <v>1203</v>
      </c>
      <c r="M51" s="308">
        <f>GETPIVOTDATA("Sum of New-Tot G SCH Calc",'Pivot Table for Fact Book'!$A$3,"State","GA","type",6,"Type2","Four-Year")</f>
        <v>1203</v>
      </c>
      <c r="N51" s="307">
        <f>GETPIVOTDATA("Sum of Old-Tot G SCH Calc",'Pivot Table for Fact Book'!$A$3,"State","GA","type",15,"Type2","Four-Year")</f>
        <v>0</v>
      </c>
      <c r="O51" s="308">
        <f>GETPIVOTDATA("Sum of New-Tot G SCH Calc",'Pivot Table for Fact Book'!$A$3,"State","GA","type",15,"Type2","Four-Year")</f>
        <v>0</v>
      </c>
      <c r="P51" s="309">
        <f>GETPIVOTDATA("Sum of Old-Tot G SCH Calc",'Pivot Table for Fact Book'!$A$3,"State","GA","Type2","Four-Year")</f>
        <v>1241935.3</v>
      </c>
      <c r="Q51" s="309">
        <f>GETPIVOTDATA("Sum of New-Tot G SCH Calc",'Pivot Table for Fact Book'!$A$3,"State","GA","Type2","Four-Year")</f>
        <v>1241935.3</v>
      </c>
    </row>
    <row r="52" spans="1:17">
      <c r="A52" s="320" t="s">
        <v>890</v>
      </c>
      <c r="B52" s="307">
        <f>GETPIVOTDATA("Sum of Old-Tot G SCH Calc",'Pivot Table for Fact Book'!$A$3,"State","KY","type",1,"Type2","Four-Year")</f>
        <v>158495</v>
      </c>
      <c r="C52" s="308">
        <f>GETPIVOTDATA("Sum of New-Tot G SCH Calc",'Pivot Table for Fact Book'!$A$3,"State","KY","type",1,"Type2","Four-Year")</f>
        <v>161220</v>
      </c>
      <c r="D52" s="307">
        <f>GETPIVOTDATA("Sum of Old-Tot G SCH Calc",'Pivot Table for Fact Book'!$A$3,"State","KY","type",2,"Type2","Four-Year")</f>
        <v>0</v>
      </c>
      <c r="E52" s="308">
        <f>GETPIVOTDATA("Sum of New-Tot G SCH Calc",'Pivot Table for Fact Book'!$A$3,"State","KY","type",2,"Type2","Four-Year")</f>
        <v>0</v>
      </c>
      <c r="F52" s="307">
        <f>GETPIVOTDATA("Sum of Old-Tot G SCH Calc",'Pivot Table for Fact Book'!$A$3,"State","KY","type",3,"Type2","Four-Year")</f>
        <v>165131</v>
      </c>
      <c r="G52" s="308">
        <f>GETPIVOTDATA("Sum of New-Tot G SCH Calc",'Pivot Table for Fact Book'!$A$3,"State","KY","type",3,"Type2","Four-Year")</f>
        <v>155801</v>
      </c>
      <c r="H52" s="307">
        <f>GETPIVOTDATA("Sum of Old-Tot G SCH Calc",'Pivot Table for Fact Book'!$A$3,"State","KY","type",4,"Type2","Four-Year")</f>
        <v>2304</v>
      </c>
      <c r="I52" s="308">
        <f>GETPIVOTDATA("Sum of New-Tot G SCH Calc",'Pivot Table for Fact Book'!$A$3,"State","KY","type",4,"Type2","Four-Year")</f>
        <v>2422</v>
      </c>
      <c r="J52" s="307">
        <f>GETPIVOTDATA("Sum of Old-Tot G SCH Calc",'Pivot Table for Fact Book'!$A$3,"State","KY","type",5,"Type2","Four-Year")</f>
        <v>0</v>
      </c>
      <c r="K52" s="308">
        <f>GETPIVOTDATA("Sum of New-Tot G SCH Calc",'Pivot Table for Fact Book'!$A$3,"State","KY","type",5,"Type2","Four-Year")</f>
        <v>0</v>
      </c>
      <c r="L52" s="307">
        <f>GETPIVOTDATA("Sum of Old-Tot G SCH Calc",'Pivot Table for Fact Book'!$A$3,"State","KY","type",6,"Type2","Four-Year")</f>
        <v>0</v>
      </c>
      <c r="M52" s="308">
        <f>GETPIVOTDATA("Sum of New-Tot G SCH Calc",'Pivot Table for Fact Book'!$A$3,"State","KY","type",6,"Type2","Four-Year")</f>
        <v>0</v>
      </c>
      <c r="N52" s="307">
        <f>GETPIVOTDATA("Sum of Old-Tot G SCH Calc",'Pivot Table for Fact Book'!$A$3,"State","KY","type",15,"Type2","Four-Year")</f>
        <v>0</v>
      </c>
      <c r="O52" s="308">
        <f>GETPIVOTDATA("Sum of New-Tot G SCH Calc",'Pivot Table for Fact Book'!$A$3,"State","KY","type",15,"Type2","Four-Year")</f>
        <v>0</v>
      </c>
      <c r="P52" s="309">
        <f>GETPIVOTDATA("Sum of Old-Tot G SCH Calc",'Pivot Table for Fact Book'!$A$3,"State","KY","Type2","Four-Year")</f>
        <v>325930</v>
      </c>
      <c r="Q52" s="309">
        <f>GETPIVOTDATA("Sum of New-Tot G SCH Calc",'Pivot Table for Fact Book'!$A$3,"State","KY","Type2","Four-Year")</f>
        <v>319443</v>
      </c>
    </row>
    <row r="53" spans="1:17">
      <c r="A53" s="320" t="s">
        <v>891</v>
      </c>
      <c r="B53" s="307">
        <f>GETPIVOTDATA("Sum of Old-Tot G SCH Calc",'Pivot Table for Fact Book'!$A$3,"State","LA","type",1,"Type2","Four-Year")</f>
        <v>129253.00000000031</v>
      </c>
      <c r="C53" s="308">
        <f>GETPIVOTDATA("Sum of New-Tot G SCH Calc",'Pivot Table for Fact Book'!$A$3,"State","LA","type",1,"Type2","Four-Year")</f>
        <v>133260.99999999953</v>
      </c>
      <c r="D53" s="307">
        <f>GETPIVOTDATA("Sum of Old-Tot G SCH Calc",'Pivot Table for Fact Book'!$A$3,"State","LA","type",2,"Type2","Four-Year")</f>
        <v>75262.000000000015</v>
      </c>
      <c r="E53" s="308">
        <f>GETPIVOTDATA("Sum of New-Tot G SCH Calc",'Pivot Table for Fact Book'!$A$3,"State","LA","type",2,"Type2","Four-Year")</f>
        <v>74535.999999999927</v>
      </c>
      <c r="F53" s="307">
        <f>GETPIVOTDATA("Sum of Old-Tot G SCH Calc",'Pivot Table for Fact Book'!$A$3,"State","LA","type",3,"Type2","Four-Year")</f>
        <v>94605.000000000015</v>
      </c>
      <c r="G53" s="308">
        <f>GETPIVOTDATA("Sum of New-Tot G SCH Calc",'Pivot Table for Fact Book'!$A$3,"State","LA","type",3,"Type2","Four-Year")</f>
        <v>78509.000000000058</v>
      </c>
      <c r="H53" s="307">
        <f>GETPIVOTDATA("Sum of Old-Tot G SCH Calc",'Pivot Table for Fact Book'!$A$3,"State","LA","type",4,"Type2","Four-Year")</f>
        <v>80264</v>
      </c>
      <c r="I53" s="308">
        <f>GETPIVOTDATA("Sum of New-Tot G SCH Calc",'Pivot Table for Fact Book'!$A$3,"State","LA","type",4,"Type2","Four-Year")</f>
        <v>92798.000000000058</v>
      </c>
      <c r="J53" s="307">
        <f>GETPIVOTDATA("Sum of Old-Tot G SCH Calc",'Pivot Table for Fact Book'!$A$3,"State","LA","type",5,"Type2","Four-Year")</f>
        <v>9974</v>
      </c>
      <c r="K53" s="308">
        <f>GETPIVOTDATA("Sum of New-Tot G SCH Calc",'Pivot Table for Fact Book'!$A$3,"State","LA","type",5,"Type2","Four-Year")</f>
        <v>9558</v>
      </c>
      <c r="L53" s="307">
        <f>GETPIVOTDATA("Sum of Old-Tot G SCH Calc",'Pivot Table for Fact Book'!$A$3,"State","LA","type",6,"Type2","Four-Year")</f>
        <v>0</v>
      </c>
      <c r="M53" s="308">
        <f>GETPIVOTDATA("Sum of New-Tot G SCH Calc",'Pivot Table for Fact Book'!$A$3,"State","LA","type",6,"Type2","Four-Year")</f>
        <v>0</v>
      </c>
      <c r="N53" s="307">
        <f>GETPIVOTDATA("Sum of Old-Tot G SCH Calc",'Pivot Table for Fact Book'!$A$3,"State","LA","type",15,"Type2","Four-Year")</f>
        <v>0</v>
      </c>
      <c r="O53" s="308">
        <f>GETPIVOTDATA("Sum of New-Tot G SCH Calc",'Pivot Table for Fact Book'!$A$3,"State","LA","type",15,"Type2","Four-Year")</f>
        <v>0</v>
      </c>
      <c r="P53" s="309">
        <f>GETPIVOTDATA("Sum of Old-Tot G SCH Calc",'Pivot Table for Fact Book'!$A$3,"State","LA","Type2","Four-Year")</f>
        <v>389358.00000000035</v>
      </c>
      <c r="Q53" s="309">
        <f>GETPIVOTDATA("Sum of New-Tot G SCH Calc",'Pivot Table for Fact Book'!$A$3,"State","LA","Type2","Four-Year")</f>
        <v>388661.99999999959</v>
      </c>
    </row>
    <row r="54" spans="1:17">
      <c r="A54" s="320" t="s">
        <v>892</v>
      </c>
      <c r="B54" s="307">
        <f>GETPIVOTDATA("Sum of Old-Tot G SCH Calc",'Pivot Table for Fact Book'!$A$3,"State","MD","type",1,"Type2","Four-Year")</f>
        <v>157557</v>
      </c>
      <c r="C54" s="308">
        <f>GETPIVOTDATA("Sum of New-Tot G SCH Calc",'Pivot Table for Fact Book'!$A$3,"State","MD","type",1,"Type2","Four-Year")</f>
        <v>158715.5</v>
      </c>
      <c r="D54" s="307">
        <f>GETPIVOTDATA("Sum of Old-Tot G SCH Calc",'Pivot Table for Fact Book'!$A$3,"State","MD","type",2,"Type2","Four-Year")</f>
        <v>58831</v>
      </c>
      <c r="E54" s="308">
        <f>GETPIVOTDATA("Sum of New-Tot G SCH Calc",'Pivot Table for Fact Book'!$A$3,"State","MD","type",2,"Type2","Four-Year")</f>
        <v>57603</v>
      </c>
      <c r="F54" s="307">
        <f>GETPIVOTDATA("Sum of Old-Tot G SCH Calc",'Pivot Table for Fact Book'!$A$3,"State","MD","type",3,"Type2","Four-Year")</f>
        <v>92396</v>
      </c>
      <c r="G54" s="308">
        <f>GETPIVOTDATA("Sum of New-Tot G SCH Calc",'Pivot Table for Fact Book'!$A$3,"State","MD","type",3,"Type2","Four-Year")</f>
        <v>88559</v>
      </c>
      <c r="H54" s="307">
        <f>GETPIVOTDATA("Sum of Old-Tot G SCH Calc",'Pivot Table for Fact Book'!$A$3,"State","MD","type",4,"Type2","Four-Year")</f>
        <v>59868</v>
      </c>
      <c r="I54" s="308">
        <f>GETPIVOTDATA("Sum of New-Tot G SCH Calc",'Pivot Table for Fact Book'!$A$3,"State","MD","type",4,"Type2","Four-Year")</f>
        <v>60330</v>
      </c>
      <c r="J54" s="307">
        <f>GETPIVOTDATA("Sum of Old-Tot G SCH Calc",'Pivot Table for Fact Book'!$A$3,"State","MD","type",5,"Type2","Four-Year")</f>
        <v>5570</v>
      </c>
      <c r="K54" s="308">
        <f>GETPIVOTDATA("Sum of New-Tot G SCH Calc",'Pivot Table for Fact Book'!$A$3,"State","MD","type",5,"Type2","Four-Year")</f>
        <v>5008</v>
      </c>
      <c r="L54" s="307">
        <f>GETPIVOTDATA("Sum of Old-Tot G SCH Calc",'Pivot Table for Fact Book'!$A$3,"State","MD","type",6,"Type2","Four-Year")</f>
        <v>1356</v>
      </c>
      <c r="M54" s="308">
        <f>GETPIVOTDATA("Sum of New-Tot G SCH Calc",'Pivot Table for Fact Book'!$A$3,"State","MD","type",6,"Type2","Four-Year")</f>
        <v>1409</v>
      </c>
      <c r="N54" s="307">
        <f>GETPIVOTDATA("Sum of Old-Tot G SCH Calc",'Pivot Table for Fact Book'!$A$3,"State","MD","type",15,"Type2","Four-Year")</f>
        <v>233210</v>
      </c>
      <c r="O54" s="308">
        <f>GETPIVOTDATA("Sum of New-Tot G SCH Calc",'Pivot Table for Fact Book'!$A$3,"State","MD","type",15,"Type2","Four-Year")</f>
        <v>255175</v>
      </c>
      <c r="P54" s="309">
        <f>GETPIVOTDATA("Sum of Old-Tot G SCH Calc",'Pivot Table for Fact Book'!$A$3,"State","MD","Type2","Four-Year")</f>
        <v>608788</v>
      </c>
      <c r="Q54" s="309">
        <f>GETPIVOTDATA("Sum of New-Tot G SCH Calc",'Pivot Table for Fact Book'!$A$3,"State","MD","Type2","Four-Year")</f>
        <v>626799.5</v>
      </c>
    </row>
    <row r="55" spans="1:17">
      <c r="A55" s="320" t="s">
        <v>893</v>
      </c>
      <c r="B55" s="307">
        <f>GETPIVOTDATA("Sum of Old-Tot G SCH Calc",'Pivot Table for Fact Book'!$A$3,"State","MS","type",1,"Type2","Four-Year")</f>
        <v>108107</v>
      </c>
      <c r="C55" s="308">
        <f>GETPIVOTDATA("Sum of New-Tot G SCH Calc",'Pivot Table for Fact Book'!$A$3,"State","MS","type",1,"Type2","Four-Year")</f>
        <v>107102</v>
      </c>
      <c r="D55" s="307">
        <f>GETPIVOTDATA("Sum of Old-Tot G SCH Calc",'Pivot Table for Fact Book'!$A$3,"State","MS","type",2,"Type2","Four-Year")</f>
        <v>99745</v>
      </c>
      <c r="E55" s="308">
        <f>GETPIVOTDATA("Sum of New-Tot G SCH Calc",'Pivot Table for Fact Book'!$A$3,"State","MS","type",2,"Type2","Four-Year")</f>
        <v>98001</v>
      </c>
      <c r="F55" s="307">
        <f>GETPIVOTDATA("Sum of Old-Tot G SCH Calc",'Pivot Table for Fact Book'!$A$3,"State","MS","type",3,"Type2","Four-Year")</f>
        <v>0</v>
      </c>
      <c r="G55" s="308">
        <f>GETPIVOTDATA("Sum of New-Tot G SCH Calc",'Pivot Table for Fact Book'!$A$3,"State","MS","type",3,"Type2","Four-Year")</f>
        <v>0</v>
      </c>
      <c r="H55" s="307">
        <f>GETPIVOTDATA("Sum of Old-Tot G SCH Calc",'Pivot Table for Fact Book'!$A$3,"State","MS","type",4,"Type2","Four-Year")</f>
        <v>40819</v>
      </c>
      <c r="I55" s="308">
        <f>GETPIVOTDATA("Sum of New-Tot G SCH Calc",'Pivot Table for Fact Book'!$A$3,"State","MS","type",4,"Type2","Four-Year")</f>
        <v>38852</v>
      </c>
      <c r="J55" s="307">
        <f>GETPIVOTDATA("Sum of Old-Tot G SCH Calc",'Pivot Table for Fact Book'!$A$3,"State","MS","type",5,"Type2","Four-Year")</f>
        <v>4839</v>
      </c>
      <c r="K55" s="308">
        <f>GETPIVOTDATA("Sum of New-Tot G SCH Calc",'Pivot Table for Fact Book'!$A$3,"State","MS","type",5,"Type2","Four-Year")</f>
        <v>4648</v>
      </c>
      <c r="L55" s="307">
        <f>GETPIVOTDATA("Sum of Old-Tot G SCH Calc",'Pivot Table for Fact Book'!$A$3,"State","MS","type",6,"Type2","Four-Year")</f>
        <v>0</v>
      </c>
      <c r="M55" s="308">
        <f>GETPIVOTDATA("Sum of New-Tot G SCH Calc",'Pivot Table for Fact Book'!$A$3,"State","MS","type",6,"Type2","Four-Year")</f>
        <v>0</v>
      </c>
      <c r="N55" s="307">
        <f>GETPIVOTDATA("Sum of Old-Tot G SCH Calc",'Pivot Table for Fact Book'!$A$3,"State","MS","type",15,"Type2","Four-Year")</f>
        <v>0</v>
      </c>
      <c r="O55" s="308">
        <f>GETPIVOTDATA("Sum of New-Tot G SCH Calc",'Pivot Table for Fact Book'!$A$3,"State","MS","type",15,"Type2","Four-Year")</f>
        <v>0</v>
      </c>
      <c r="P55" s="309">
        <f>GETPIVOTDATA("Sum of Old-Tot G SCH Calc",'Pivot Table for Fact Book'!$A$3,"State","MS","Type2","Four-Year")</f>
        <v>253510</v>
      </c>
      <c r="Q55" s="309">
        <f>GETPIVOTDATA("Sum of New-Tot G SCH Calc",'Pivot Table for Fact Book'!$A$3,"State","MS","Type2","Four-Year")</f>
        <v>248603</v>
      </c>
    </row>
    <row r="56" spans="1:17">
      <c r="A56" s="320" t="s">
        <v>894</v>
      </c>
      <c r="B56" s="307">
        <f>GETPIVOTDATA("Sum of Old-Tot G SCH Calc",'Pivot Table for Fact Book'!$A$3,"State","NC","type",1,"Type2","Four-Year")</f>
        <v>473795</v>
      </c>
      <c r="C56" s="308">
        <f>GETPIVOTDATA("Sum of New-Tot G SCH Calc",'Pivot Table for Fact Book'!$A$3,"State","NC","type",1,"Type2","Four-Year")</f>
        <v>482925</v>
      </c>
      <c r="D56" s="307">
        <f>GETPIVOTDATA("Sum of Old-Tot G SCH Calc",'Pivot Table for Fact Book'!$A$3,"State","NC","type",2,"Type2","Four-Year")</f>
        <v>80701</v>
      </c>
      <c r="E56" s="308">
        <f>GETPIVOTDATA("Sum of New-Tot G SCH Calc",'Pivot Table for Fact Book'!$A$3,"State","NC","type",2,"Type2","Four-Year")</f>
        <v>83269</v>
      </c>
      <c r="F56" s="307">
        <f>GETPIVOTDATA("Sum of Old-Tot G SCH Calc",'Pivot Table for Fact Book'!$A$3,"State","NC","type",3,"Type2","Four-Year")</f>
        <v>158538</v>
      </c>
      <c r="G56" s="308">
        <f>GETPIVOTDATA("Sum of New-Tot G SCH Calc",'Pivot Table for Fact Book'!$A$3,"State","NC","type",3,"Type2","Four-Year")</f>
        <v>160267</v>
      </c>
      <c r="H56" s="307">
        <f>GETPIVOTDATA("Sum of Old-Tot G SCH Calc",'Pivot Table for Fact Book'!$A$3,"State","NC","type",4,"Type2","Four-Year")</f>
        <v>12527</v>
      </c>
      <c r="I56" s="308">
        <f>GETPIVOTDATA("Sum of New-Tot G SCH Calc",'Pivot Table for Fact Book'!$A$3,"State","NC","type",4,"Type2","Four-Year")</f>
        <v>15133</v>
      </c>
      <c r="J56" s="307">
        <f>GETPIVOTDATA("Sum of Old-Tot G SCH Calc",'Pivot Table for Fact Book'!$A$3,"State","NC","type",5,"Type2","Four-Year")</f>
        <v>22776</v>
      </c>
      <c r="K56" s="308">
        <f>GETPIVOTDATA("Sum of New-Tot G SCH Calc",'Pivot Table for Fact Book'!$A$3,"State","NC","type",5,"Type2","Four-Year")</f>
        <v>22509</v>
      </c>
      <c r="L56" s="307">
        <f>GETPIVOTDATA("Sum of Old-Tot G SCH Calc",'Pivot Table for Fact Book'!$A$3,"State","NC","type",6,"Type2","Four-Year")</f>
        <v>923</v>
      </c>
      <c r="M56" s="308">
        <f>GETPIVOTDATA("Sum of New-Tot G SCH Calc",'Pivot Table for Fact Book'!$A$3,"State","NC","type",6,"Type2","Four-Year")</f>
        <v>1021</v>
      </c>
      <c r="N56" s="307">
        <f>GETPIVOTDATA("Sum of Old-Tot G SCH Calc",'Pivot Table for Fact Book'!$A$3,"State","NC","type",15,"Type2","Four-Year")</f>
        <v>0</v>
      </c>
      <c r="O56" s="308">
        <f>GETPIVOTDATA("Sum of New-Tot G SCH Calc",'Pivot Table for Fact Book'!$A$3,"State","NC","type",15,"Type2","Four-Year")</f>
        <v>0</v>
      </c>
      <c r="P56" s="309">
        <f>GETPIVOTDATA("Sum of Old-Tot G SCH Calc",'Pivot Table for Fact Book'!$A$3,"State","NC","Type2","Four-Year")</f>
        <v>749260</v>
      </c>
      <c r="Q56" s="309">
        <f>GETPIVOTDATA("Sum of New-Tot G SCH Calc",'Pivot Table for Fact Book'!$A$3,"State","NC","Type2","Four-Year")</f>
        <v>765124</v>
      </c>
    </row>
    <row r="57" spans="1:17">
      <c r="A57" s="320" t="s">
        <v>895</v>
      </c>
      <c r="B57" s="307">
        <f>GETPIVOTDATA("Sum of Old-Tot G SCH Calc",'Pivot Table for Fact Book'!$A$3,"State","OK","type",1,"Type2","Four-Year")</f>
        <v>235608</v>
      </c>
      <c r="C57" s="308">
        <f>GETPIVOTDATA("Sum of New-Tot G SCH Calc",'Pivot Table for Fact Book'!$A$3,"State","OK","type",1,"Type2","Four-Year")</f>
        <v>214044</v>
      </c>
      <c r="D57" s="307">
        <f>GETPIVOTDATA("Sum of Old-Tot G SCH Calc",'Pivot Table for Fact Book'!$A$3,"State","OK","type",2,"Type2","Four-Year")</f>
        <v>0</v>
      </c>
      <c r="E57" s="308">
        <f>GETPIVOTDATA("Sum of New-Tot G SCH Calc",'Pivot Table for Fact Book'!$A$3,"State","OK","type",2,"Type2","Four-Year")</f>
        <v>0</v>
      </c>
      <c r="F57" s="307">
        <f>GETPIVOTDATA("Sum of Old-Tot G SCH Calc",'Pivot Table for Fact Book'!$A$3,"State","OK","type",3,"Type2","Four-Year")</f>
        <v>47254</v>
      </c>
      <c r="G57" s="308">
        <f>GETPIVOTDATA("Sum of New-Tot G SCH Calc",'Pivot Table for Fact Book'!$A$3,"State","OK","type",3,"Type2","Four-Year")</f>
        <v>44392</v>
      </c>
      <c r="H57" s="307">
        <f>GETPIVOTDATA("Sum of Old-Tot G SCH Calc",'Pivot Table for Fact Book'!$A$3,"State","OK","type",4,"Type2","Four-Year")</f>
        <v>22285</v>
      </c>
      <c r="I57" s="308">
        <f>GETPIVOTDATA("Sum of New-Tot G SCH Calc",'Pivot Table for Fact Book'!$A$3,"State","OK","type",4,"Type2","Four-Year")</f>
        <v>26647</v>
      </c>
      <c r="J57" s="307">
        <f>GETPIVOTDATA("Sum of Old-Tot G SCH Calc",'Pivot Table for Fact Book'!$A$3,"State","OK","type",5,"Type2","Four-Year")</f>
        <v>29645</v>
      </c>
      <c r="K57" s="308">
        <f>GETPIVOTDATA("Sum of New-Tot G SCH Calc",'Pivot Table for Fact Book'!$A$3,"State","OK","type",5,"Type2","Four-Year")</f>
        <v>25494</v>
      </c>
      <c r="L57" s="307">
        <f>GETPIVOTDATA("Sum of Old-Tot G SCH Calc",'Pivot Table for Fact Book'!$A$3,"State","OK","type",6,"Type2","Four-Year")</f>
        <v>474</v>
      </c>
      <c r="M57" s="308">
        <f>GETPIVOTDATA("Sum of New-Tot G SCH Calc",'Pivot Table for Fact Book'!$A$3,"State","OK","type",6,"Type2","Four-Year")</f>
        <v>504</v>
      </c>
      <c r="N57" s="307">
        <f>GETPIVOTDATA("Sum of Old-Tot G SCH Calc",'Pivot Table for Fact Book'!$A$3,"State","OK","type",15,"Type2","Four-Year")</f>
        <v>0</v>
      </c>
      <c r="O57" s="308">
        <f>GETPIVOTDATA("Sum of New-Tot G SCH Calc",'Pivot Table for Fact Book'!$A$3,"State","OK","type",15,"Type2","Four-Year")</f>
        <v>0</v>
      </c>
      <c r="P57" s="309">
        <f>GETPIVOTDATA("Sum of Old-Tot G SCH Calc",'Pivot Table for Fact Book'!$A$3,"State","OK","Type2","Four-Year")</f>
        <v>335266</v>
      </c>
      <c r="Q57" s="309">
        <f>GETPIVOTDATA("Sum of New-Tot G SCH Calc",'Pivot Table for Fact Book'!$A$3,"State","OK","Type2","Four-Year")</f>
        <v>311081</v>
      </c>
    </row>
    <row r="58" spans="1:17">
      <c r="A58" s="320" t="s">
        <v>896</v>
      </c>
      <c r="B58" s="307">
        <f>GETPIVOTDATA("Sum of Old-Tot G SCH Calc",'Pivot Table for Fact Book'!$A$3,"State","SC","type",1,"Type2","Four-Year")</f>
        <v>272703</v>
      </c>
      <c r="C58" s="308">
        <f>GETPIVOTDATA("Sum of New-Tot G SCH Calc",'Pivot Table for Fact Book'!$A$3,"State","SC","type",1,"Type2","Four-Year")</f>
        <v>273176</v>
      </c>
      <c r="D58" s="307">
        <f>GETPIVOTDATA("Sum of Old-Tot G SCH Calc",'Pivot Table for Fact Book'!$A$3,"State","SC","type",2,"Type2","Four-Year")</f>
        <v>0</v>
      </c>
      <c r="E58" s="308">
        <f>GETPIVOTDATA("Sum of New-Tot G SCH Calc",'Pivot Table for Fact Book'!$A$3,"State","SC","type",2,"Type2","Four-Year")</f>
        <v>0</v>
      </c>
      <c r="F58" s="307">
        <f>GETPIVOTDATA("Sum of Old-Tot G SCH Calc",'Pivot Table for Fact Book'!$A$3,"State","SC","type",3,"Type2","Four-Year")</f>
        <v>51289</v>
      </c>
      <c r="G58" s="308">
        <f>GETPIVOTDATA("Sum of New-Tot G SCH Calc",'Pivot Table for Fact Book'!$A$3,"State","SC","type",3,"Type2","Four-Year")</f>
        <v>42525</v>
      </c>
      <c r="H58" s="307">
        <f>GETPIVOTDATA("Sum of Old-Tot G SCH Calc",'Pivot Table for Fact Book'!$A$3,"State","SC","type",4,"Type2","Four-Year")</f>
        <v>0</v>
      </c>
      <c r="I58" s="308">
        <f>GETPIVOTDATA("Sum of New-Tot G SCH Calc",'Pivot Table for Fact Book'!$A$3,"State","SC","type",4,"Type2","Four-Year")</f>
        <v>0</v>
      </c>
      <c r="J58" s="307">
        <f>GETPIVOTDATA("Sum of Old-Tot G SCH Calc",'Pivot Table for Fact Book'!$A$3,"State","SC","type",5,"Type2","Four-Year")</f>
        <v>26951</v>
      </c>
      <c r="K58" s="308">
        <f>GETPIVOTDATA("Sum of New-Tot G SCH Calc",'Pivot Table for Fact Book'!$A$3,"State","SC","type",5,"Type2","Four-Year")</f>
        <v>26971</v>
      </c>
      <c r="L58" s="307">
        <f>GETPIVOTDATA("Sum of Old-Tot G SCH Calc",'Pivot Table for Fact Book'!$A$3,"State","SC","type",6,"Type2","Four-Year")</f>
        <v>7385</v>
      </c>
      <c r="M58" s="308">
        <f>GETPIVOTDATA("Sum of New-Tot G SCH Calc",'Pivot Table for Fact Book'!$A$3,"State","SC","type",6,"Type2","Four-Year")</f>
        <v>6505</v>
      </c>
      <c r="N58" s="307">
        <f>GETPIVOTDATA("Sum of Old-Tot G SCH Calc",'Pivot Table for Fact Book'!$A$3,"State","SC","type",15,"Type2","Four-Year")</f>
        <v>0</v>
      </c>
      <c r="O58" s="308">
        <f>GETPIVOTDATA("Sum of New-Tot G SCH Calc",'Pivot Table for Fact Book'!$A$3,"State","SC","type",15,"Type2","Four-Year")</f>
        <v>0</v>
      </c>
      <c r="P58" s="309">
        <f>GETPIVOTDATA("Sum of Old-Tot G SCH Calc",'Pivot Table for Fact Book'!$A$3,"State","SC","Type2","Four-Year")</f>
        <v>358328</v>
      </c>
      <c r="Q58" s="309">
        <f>GETPIVOTDATA("Sum of New-Tot G SCH Calc",'Pivot Table for Fact Book'!$A$3,"State","SC","Type2","Four-Year")</f>
        <v>349177</v>
      </c>
    </row>
    <row r="59" spans="1:17">
      <c r="A59" s="320" t="s">
        <v>897</v>
      </c>
      <c r="B59" s="307">
        <f>GETPIVOTDATA("Sum of Old-Tot G SCH Calc",'Pivot Table for Fact Book'!$A$3,"State","TN","type",1,"Type2","Four-Year")</f>
        <v>150260</v>
      </c>
      <c r="C59" s="308">
        <f>GETPIVOTDATA("Sum of New-Tot G SCH Calc",'Pivot Table for Fact Book'!$A$3,"State","TN","type",1,"Type2","Four-Year")</f>
        <v>149922</v>
      </c>
      <c r="D59" s="307">
        <f>GETPIVOTDATA("Sum of Old-Tot G SCH Calc",'Pivot Table for Fact Book'!$A$3,"State","TN","type",2,"Type2","Four-Year")</f>
        <v>103243</v>
      </c>
      <c r="E59" s="308">
        <f>GETPIVOTDATA("Sum of New-Tot G SCH Calc",'Pivot Table for Fact Book'!$A$3,"State","TN","type",2,"Type2","Four-Year")</f>
        <v>103381</v>
      </c>
      <c r="F59" s="307">
        <f>GETPIVOTDATA("Sum of Old-Tot G SCH Calc",'Pivot Table for Fact Book'!$A$3,"State","TN","type",3,"Type2","Four-Year")</f>
        <v>55282</v>
      </c>
      <c r="G59" s="308">
        <f>GETPIVOTDATA("Sum of New-Tot G SCH Calc",'Pivot Table for Fact Book'!$A$3,"State","TN","type",3,"Type2","Four-Year")</f>
        <v>56521</v>
      </c>
      <c r="H59" s="307">
        <f>GETPIVOTDATA("Sum of Old-Tot G SCH Calc",'Pivot Table for Fact Book'!$A$3,"State","TN","type",4,"Type2","Four-Year")</f>
        <v>0</v>
      </c>
      <c r="I59" s="308">
        <f>GETPIVOTDATA("Sum of New-Tot G SCH Calc",'Pivot Table for Fact Book'!$A$3,"State","TN","type",4,"Type2","Four-Year")</f>
        <v>0</v>
      </c>
      <c r="J59" s="307">
        <f>GETPIVOTDATA("Sum of Old-Tot G SCH Calc",'Pivot Table for Fact Book'!$A$3,"State","TN","type",5,"Type2","Four-Year")</f>
        <v>6169</v>
      </c>
      <c r="K59" s="308">
        <f>GETPIVOTDATA("Sum of New-Tot G SCH Calc",'Pivot Table for Fact Book'!$A$3,"State","TN","type",5,"Type2","Four-Year")</f>
        <v>6757</v>
      </c>
      <c r="L59" s="307">
        <f>GETPIVOTDATA("Sum of Old-Tot G SCH Calc",'Pivot Table for Fact Book'!$A$3,"State","TN","type",6,"Type2","Four-Year")</f>
        <v>0</v>
      </c>
      <c r="M59" s="308">
        <f>GETPIVOTDATA("Sum of New-Tot G SCH Calc",'Pivot Table for Fact Book'!$A$3,"State","TN","type",6,"Type2","Four-Year")</f>
        <v>0</v>
      </c>
      <c r="N59" s="307">
        <f>GETPIVOTDATA("Sum of Old-Tot G SCH Calc",'Pivot Table for Fact Book'!$A$3,"State","TN","type",15,"Type2","Four-Year")</f>
        <v>0</v>
      </c>
      <c r="O59" s="308">
        <f>GETPIVOTDATA("Sum of New-Tot G SCH Calc",'Pivot Table for Fact Book'!$A$3,"State","TN","type",15,"Type2","Four-Year")</f>
        <v>0</v>
      </c>
      <c r="P59" s="309">
        <f>GETPIVOTDATA("Sum of Old-Tot G SCH Calc",'Pivot Table for Fact Book'!$A$3,"State","TN","Type2","Four-Year")</f>
        <v>314954</v>
      </c>
      <c r="Q59" s="309">
        <f>GETPIVOTDATA("Sum of New-Tot G SCH Calc",'Pivot Table for Fact Book'!$A$3,"State","TN","Type2","Four-Year")</f>
        <v>316581</v>
      </c>
    </row>
    <row r="60" spans="1:17">
      <c r="A60" s="320" t="s">
        <v>898</v>
      </c>
      <c r="B60" s="307">
        <f>GETPIVOTDATA("Sum of Old-Tot G SCH Calc",'Pivot Table for Fact Book'!$A$3,"State","TX","type",1,"Type2","Four-Year")</f>
        <v>1300226</v>
      </c>
      <c r="C60" s="308">
        <f>GETPIVOTDATA("Sum of New-Tot G SCH Calc",'Pivot Table for Fact Book'!$A$3,"State","TX","type",1,"Type2","Four-Year")</f>
        <v>1310839</v>
      </c>
      <c r="D60" s="307">
        <f>GETPIVOTDATA("Sum of Old-Tot G SCH Calc",'Pivot Table for Fact Book'!$A$3,"State","TX","type",2,"Type2","Four-Year")</f>
        <v>223574</v>
      </c>
      <c r="E60" s="308">
        <f>GETPIVOTDATA("Sum of New-Tot G SCH Calc",'Pivot Table for Fact Book'!$A$3,"State","TX","type",2,"Type2","Four-Year")</f>
        <v>227286</v>
      </c>
      <c r="F60" s="307">
        <f>GETPIVOTDATA("Sum of Old-Tot G SCH Calc",'Pivot Table for Fact Book'!$A$3,"State","TX","type",3,"Type2","Four-Year")</f>
        <v>713226</v>
      </c>
      <c r="G60" s="308">
        <f>GETPIVOTDATA("Sum of New-Tot G SCH Calc",'Pivot Table for Fact Book'!$A$3,"State","TX","type",3,"Type2","Four-Year")</f>
        <v>691909</v>
      </c>
      <c r="H60" s="307">
        <f>GETPIVOTDATA("Sum of Old-Tot G SCH Calc",'Pivot Table for Fact Book'!$A$3,"State","TX","type",4,"Type2","Four-Year")</f>
        <v>32426</v>
      </c>
      <c r="I60" s="308">
        <f>GETPIVOTDATA("Sum of New-Tot G SCH Calc",'Pivot Table for Fact Book'!$A$3,"State","TX","type",4,"Type2","Four-Year")</f>
        <v>34230</v>
      </c>
      <c r="J60" s="307">
        <f>GETPIVOTDATA("Sum of Old-Tot G SCH Calc",'Pivot Table for Fact Book'!$A$3,"State","TX","type",5,"Type2","Four-Year")</f>
        <v>42315</v>
      </c>
      <c r="K60" s="308">
        <f>GETPIVOTDATA("Sum of New-Tot G SCH Calc",'Pivot Table for Fact Book'!$A$3,"State","TX","type",5,"Type2","Four-Year")</f>
        <v>47878</v>
      </c>
      <c r="L60" s="307">
        <f>GETPIVOTDATA("Sum of Old-Tot G SCH Calc",'Pivot Table for Fact Book'!$A$3,"State","TX","type",6,"Type2","Four-Year")</f>
        <v>0</v>
      </c>
      <c r="M60" s="308">
        <f>GETPIVOTDATA("Sum of New-Tot G SCH Calc",'Pivot Table for Fact Book'!$A$3,"State","TX","type",6,"Type2","Four-Year")</f>
        <v>0</v>
      </c>
      <c r="N60" s="307">
        <f>GETPIVOTDATA("Sum of Old-Tot G SCH Calc",'Pivot Table for Fact Book'!$A$3,"State","TX","type",15,"Type2","Four-Year")</f>
        <v>0</v>
      </c>
      <c r="O60" s="308">
        <f>GETPIVOTDATA("Sum of New-Tot G SCH Calc",'Pivot Table for Fact Book'!$A$3,"State","TX","type",15,"Type2","Four-Year")</f>
        <v>0</v>
      </c>
      <c r="P60" s="309">
        <f>GETPIVOTDATA("Sum of Old-Tot G SCH Calc",'Pivot Table for Fact Book'!$A$3,"State","TX","Type2","Four-Year")</f>
        <v>2311767</v>
      </c>
      <c r="Q60" s="309">
        <f>GETPIVOTDATA("Sum of New-Tot G SCH Calc",'Pivot Table for Fact Book'!$A$3,"State","TX","Type2","Four-Year")</f>
        <v>2312142</v>
      </c>
    </row>
    <row r="61" spans="1:17">
      <c r="A61" s="320" t="s">
        <v>899</v>
      </c>
      <c r="B61" s="307">
        <f>GETPIVOTDATA("Sum of Old-Tot G SCH Calc",'Pivot Table for Fact Book'!$A$3,"State","VA","type",1,"Type2","Four-Year")</f>
        <v>693893.3</v>
      </c>
      <c r="C61" s="308">
        <f>GETPIVOTDATA("Sum of New-Tot G SCH Calc",'Pivot Table for Fact Book'!$A$3,"State","VA","type",1,"Type2","Four-Year")</f>
        <v>706973</v>
      </c>
      <c r="D61" s="307">
        <f>GETPIVOTDATA("Sum of Old-Tot G SCH Calc",'Pivot Table for Fact Book'!$A$3,"State","VA","type",2,"Type2","Four-Year")</f>
        <v>57893</v>
      </c>
      <c r="E61" s="308">
        <f>GETPIVOTDATA("Sum of New-Tot G SCH Calc",'Pivot Table for Fact Book'!$A$3,"State","VA","type",2,"Type2","Four-Year")</f>
        <v>61157.5</v>
      </c>
      <c r="F61" s="307">
        <f>GETPIVOTDATA("Sum of Old-Tot G SCH Calc",'Pivot Table for Fact Book'!$A$3,"State","VA","type",3,"Type2","Four-Year")</f>
        <v>86825</v>
      </c>
      <c r="G61" s="308">
        <f>GETPIVOTDATA("Sum of New-Tot G SCH Calc",'Pivot Table for Fact Book'!$A$3,"State","VA","type",3,"Type2","Four-Year")</f>
        <v>90507</v>
      </c>
      <c r="H61" s="307">
        <f>GETPIVOTDATA("Sum of Old-Tot G SCH Calc",'Pivot Table for Fact Book'!$A$3,"State","VA","type",4,"Type2","Four-Year")</f>
        <v>0</v>
      </c>
      <c r="I61" s="308">
        <f>GETPIVOTDATA("Sum of New-Tot G SCH Calc",'Pivot Table for Fact Book'!$A$3,"State","VA","type",4,"Type2","Four-Year")</f>
        <v>0</v>
      </c>
      <c r="J61" s="307">
        <f>GETPIVOTDATA("Sum of Old-Tot G SCH Calc",'Pivot Table for Fact Book'!$A$3,"State","VA","type",5,"Type2","Four-Year")</f>
        <v>3280</v>
      </c>
      <c r="K61" s="308">
        <f>GETPIVOTDATA("Sum of New-Tot G SCH Calc",'Pivot Table for Fact Book'!$A$3,"State","VA","type",5,"Type2","Four-Year")</f>
        <v>3412</v>
      </c>
      <c r="L61" s="307">
        <f>GETPIVOTDATA("Sum of Old-Tot G SCH Calc",'Pivot Table for Fact Book'!$A$3,"State","VA","type",6,"Type2","Four-Year")</f>
        <v>0</v>
      </c>
      <c r="M61" s="308">
        <f>GETPIVOTDATA("Sum of New-Tot G SCH Calc",'Pivot Table for Fact Book'!$A$3,"State","VA","type",6,"Type2","Four-Year")</f>
        <v>0</v>
      </c>
      <c r="N61" s="307">
        <f>GETPIVOTDATA("Sum of Old-Tot G SCH Calc",'Pivot Table for Fact Book'!$A$3,"State","VA","type",15,"Type2","Four-Year")</f>
        <v>0</v>
      </c>
      <c r="O61" s="308">
        <f>GETPIVOTDATA("Sum of New-Tot G SCH Calc",'Pivot Table for Fact Book'!$A$3,"State","VA","type",15,"Type2","Four-Year")</f>
        <v>0</v>
      </c>
      <c r="P61" s="309">
        <f>GETPIVOTDATA("Sum of Old-Tot G SCH Calc",'Pivot Table for Fact Book'!$A$3,"State","VA","Type2","Four-Year")</f>
        <v>841891.3</v>
      </c>
      <c r="Q61" s="309">
        <f>GETPIVOTDATA("Sum of New-Tot G SCH Calc",'Pivot Table for Fact Book'!$A$3,"State","VA","Type2","Four-Year")</f>
        <v>862049.5</v>
      </c>
    </row>
    <row r="62" spans="1:17">
      <c r="A62" s="341" t="s">
        <v>900</v>
      </c>
      <c r="B62" s="313">
        <f>GETPIVOTDATA("Sum of Old-Tot G SCH Calc",'Pivot Table for Fact Book'!$A$3,"State","WV","type",1,"Type2","Four-Year")</f>
        <v>94979</v>
      </c>
      <c r="C62" s="314">
        <f>GETPIVOTDATA("Sum of New-Tot G SCH Calc",'Pivot Table for Fact Book'!$A$3,"State","WV","type",1,"Type2","Four-Year")</f>
        <v>91119</v>
      </c>
      <c r="D62" s="313">
        <f>GETPIVOTDATA("Sum of Old-Tot G SCH Calc",'Pivot Table for Fact Book'!$A$3,"State","WV","type",2,"Type2","Four-Year")</f>
        <v>0</v>
      </c>
      <c r="E62" s="314">
        <f>GETPIVOTDATA("Sum of New-Tot G SCH Calc",'Pivot Table for Fact Book'!$A$3,"State","WV","type",2,"Type2","Four-Year")</f>
        <v>0</v>
      </c>
      <c r="F62" s="313">
        <f>GETPIVOTDATA("Sum of Old-Tot G SCH Calc",'Pivot Table for Fact Book'!$A$3,"State","WV","type",3,"Type2","Four-Year")</f>
        <v>70208</v>
      </c>
      <c r="G62" s="314">
        <f>GETPIVOTDATA("Sum of New-Tot G SCH Calc",'Pivot Table for Fact Book'!$A$3,"State","WV","type",3,"Type2","Four-Year")</f>
        <v>69223</v>
      </c>
      <c r="H62" s="313">
        <f>GETPIVOTDATA("Sum of Old-Tot G SCH Calc",'Pivot Table for Fact Book'!$A$3,"State","WV","type",4,"Type2","Four-Year")</f>
        <v>0</v>
      </c>
      <c r="I62" s="314">
        <f>GETPIVOTDATA("Sum of New-Tot G SCH Calc",'Pivot Table for Fact Book'!$A$3,"State","WV","type",4,"Type2","Four-Year")</f>
        <v>0</v>
      </c>
      <c r="J62" s="313">
        <f>GETPIVOTDATA("Sum of Old-Tot G SCH Calc",'Pivot Table for Fact Book'!$A$3,"State","WV","type",5,"Type2","Four-Year")</f>
        <v>19948</v>
      </c>
      <c r="K62" s="314">
        <f>GETPIVOTDATA("Sum of New-Tot G SCH Calc",'Pivot Table for Fact Book'!$A$3,"State","WV","type",5,"Type2","Four-Year")</f>
        <v>21942</v>
      </c>
      <c r="L62" s="313">
        <f>GETPIVOTDATA("Sum of Old-Tot G SCH Calc",'Pivot Table for Fact Book'!$A$3,"State","WV","type",6,"Type2","Four-Year")</f>
        <v>1265</v>
      </c>
      <c r="M62" s="314">
        <f>GETPIVOTDATA("Sum of New-Tot G SCH Calc",'Pivot Table for Fact Book'!$A$3,"State","WV","type",6,"Type2","Four-Year")</f>
        <v>1887</v>
      </c>
      <c r="N62" s="313">
        <f>GETPIVOTDATA("Sum of Old-Tot G SCH Calc",'Pivot Table for Fact Book'!$A$3,"State","WV","type",15,"Type2","Four-Year")</f>
        <v>0</v>
      </c>
      <c r="O62" s="314">
        <f>GETPIVOTDATA("Sum of New-Tot G SCH Calc",'Pivot Table for Fact Book'!$A$3,"State","WV","type",15,"Type2","Four-Year")</f>
        <v>0</v>
      </c>
      <c r="P62" s="315">
        <f>GETPIVOTDATA("Sum of Old-Tot G SCH Calc",'Pivot Table for Fact Book'!$A$3,"State","WV","Type2","Four-Year")</f>
        <v>186400</v>
      </c>
      <c r="Q62" s="315">
        <f>GETPIVOTDATA("Sum of New-Tot G SCH Calc",'Pivot Table for Fact Book'!$A$3,"State","WV","Type2","Four-Year")</f>
        <v>184171</v>
      </c>
    </row>
    <row r="64" spans="1:17">
      <c r="A64" s="319" t="s">
        <v>903</v>
      </c>
    </row>
    <row r="65" spans="1:17">
      <c r="B65" s="321" t="s">
        <v>881</v>
      </c>
      <c r="C65" s="322"/>
      <c r="D65" s="322"/>
      <c r="E65" s="322"/>
      <c r="F65" s="322"/>
      <c r="G65" s="322"/>
      <c r="H65" s="322"/>
      <c r="I65" s="322"/>
      <c r="J65" s="322"/>
      <c r="K65" s="322"/>
      <c r="L65" s="322"/>
      <c r="M65" s="322"/>
      <c r="N65" s="322"/>
      <c r="O65" s="322"/>
      <c r="P65" s="322"/>
      <c r="Q65" s="322"/>
    </row>
    <row r="66" spans="1:17">
      <c r="B66" s="327">
        <v>1</v>
      </c>
      <c r="C66" s="328"/>
      <c r="D66" s="327">
        <v>2</v>
      </c>
      <c r="E66" s="328"/>
      <c r="F66" s="327">
        <v>3</v>
      </c>
      <c r="G66" s="328"/>
      <c r="H66" s="327">
        <v>4</v>
      </c>
      <c r="I66" s="328"/>
      <c r="J66" s="327">
        <v>5</v>
      </c>
      <c r="K66" s="328"/>
      <c r="L66" s="327">
        <v>6</v>
      </c>
      <c r="M66" s="328"/>
      <c r="N66" s="327">
        <v>15</v>
      </c>
      <c r="O66" s="328"/>
      <c r="P66" s="327" t="s">
        <v>884</v>
      </c>
      <c r="Q66" s="329"/>
    </row>
    <row r="67" spans="1:17" s="343" customFormat="1">
      <c r="A67" s="342"/>
      <c r="B67" s="335">
        <v>2014</v>
      </c>
      <c r="C67" s="336">
        <v>2015</v>
      </c>
      <c r="D67" s="335">
        <v>2014</v>
      </c>
      <c r="E67" s="336">
        <v>2015</v>
      </c>
      <c r="F67" s="335">
        <v>2014</v>
      </c>
      <c r="G67" s="336">
        <v>2015</v>
      </c>
      <c r="H67" s="335">
        <v>2014</v>
      </c>
      <c r="I67" s="336">
        <v>2015</v>
      </c>
      <c r="J67" s="335">
        <v>2014</v>
      </c>
      <c r="K67" s="336">
        <v>2015</v>
      </c>
      <c r="L67" s="335">
        <v>2014</v>
      </c>
      <c r="M67" s="336">
        <v>2015</v>
      </c>
      <c r="N67" s="335">
        <v>2014</v>
      </c>
      <c r="O67" s="336">
        <v>2015</v>
      </c>
      <c r="P67" s="335">
        <v>2014</v>
      </c>
      <c r="Q67" s="336">
        <v>2015</v>
      </c>
    </row>
    <row r="68" spans="1:17">
      <c r="A68" s="320" t="s">
        <v>885</v>
      </c>
      <c r="B68" s="307">
        <f>GETPIVOTDATA("Sum of Old G E-Learning",'Pivot Table for Fact Book'!$A$3,"State","AL","type",1,"Type2","Four-Year")</f>
        <v>38910</v>
      </c>
      <c r="C68" s="308">
        <f>GETPIVOTDATA("Sum of New G E-Learning",'Pivot Table for Fact Book'!$A$3,"State","AL","type",1,"Type2","Four-Year")</f>
        <v>45122</v>
      </c>
      <c r="D68" s="307">
        <f>GETPIVOTDATA("Sum of Old G E-Learning",'Pivot Table for Fact Book'!$A$3,"State","AL","type",2,"Type2","Four-Year")</f>
        <v>24408</v>
      </c>
      <c r="E68" s="308">
        <f>GETPIVOTDATA("Sum of New G E-Learning",'Pivot Table for Fact Book'!$A$3,"State","AL","type",2,"Type2","Four-Year")</f>
        <v>29688</v>
      </c>
      <c r="F68" s="307">
        <f>GETPIVOTDATA("Sum of Old G E-Learning",'Pivot Table for Fact Book'!$A$3,"State","AL","type",3,"Type2","Four-Year")</f>
        <v>40329</v>
      </c>
      <c r="G68" s="308">
        <f>GETPIVOTDATA("Sum of New G E-Learning",'Pivot Table for Fact Book'!$A$3,"State","AL","type",3,"Type2","Four-Year")</f>
        <v>46326</v>
      </c>
      <c r="H68" s="307">
        <f>GETPIVOTDATA("Sum of Old G E-Learning",'Pivot Table for Fact Book'!$A$3,"State","AL","type",4,"Type2","Four-Year")</f>
        <v>7661</v>
      </c>
      <c r="I68" s="308">
        <f>GETPIVOTDATA("Sum of New G E-Learning",'Pivot Table for Fact Book'!$A$3,"State","AL","type",4,"Type2","Four-Year")</f>
        <v>8444</v>
      </c>
      <c r="J68" s="307">
        <f>GETPIVOTDATA("Sum of Old G E-Learning",'Pivot Table for Fact Book'!$A$3,"State","AL","type",5,"Type2","Four-Year")</f>
        <v>34899</v>
      </c>
      <c r="K68" s="308">
        <f>GETPIVOTDATA("Sum of New G E-Learning",'Pivot Table for Fact Book'!$A$3,"State","AL","type",5,"Type2","Four-Year")</f>
        <v>43959</v>
      </c>
      <c r="L68" s="307">
        <f>GETPIVOTDATA("Sum of Old G E-Learning",'Pivot Table for Fact Book'!$A$3,"State","AL","type",6,"Type2","Four-Year")</f>
        <v>309</v>
      </c>
      <c r="M68" s="308">
        <f>GETPIVOTDATA("Sum of New G E-Learning",'Pivot Table for Fact Book'!$A$3,"State","AL","type",6,"Type2","Four-Year")</f>
        <v>1218</v>
      </c>
      <c r="N68" s="307">
        <f>GETPIVOTDATA("Sum of Old G E-Learning",'Pivot Table for Fact Book'!$A$3,"State","AL","type",15,"Type2","Four-Year")</f>
        <v>0</v>
      </c>
      <c r="O68" s="308">
        <f>GETPIVOTDATA("Sum of New G E-Learning",'Pivot Table for Fact Book'!$A$3,"State","AL","type",15,"Type2","Four-Year")</f>
        <v>0</v>
      </c>
      <c r="P68" s="309">
        <f>GETPIVOTDATA("Sum of Old G E-Learning",'Pivot Table for Fact Book'!$A$3,"State","AL","Type2","Four-Year")</f>
        <v>146516</v>
      </c>
      <c r="Q68" s="309">
        <f>GETPIVOTDATA("Sum of New G E-Learning",'Pivot Table for Fact Book'!$A$3,"State","AL","Type2","Four-Year")</f>
        <v>174757</v>
      </c>
    </row>
    <row r="69" spans="1:17">
      <c r="A69" s="320" t="s">
        <v>886</v>
      </c>
      <c r="B69" s="307">
        <f>GETPIVOTDATA("Sum of Old G E-Learning",'Pivot Table for Fact Book'!$A$3,"State","AR","type",1,"Type2","Four-Year")</f>
        <v>23669</v>
      </c>
      <c r="C69" s="308">
        <f>GETPIVOTDATA("Sum of New G E-Learning",'Pivot Table for Fact Book'!$A$3,"State","AR","type",1,"Type2","Four-Year")</f>
        <v>24310</v>
      </c>
      <c r="D69" s="307">
        <f>GETPIVOTDATA("Sum of Old G E-Learning",'Pivot Table for Fact Book'!$A$3,"State","AR","type",2,"Type2","Four-Year")</f>
        <v>10157</v>
      </c>
      <c r="E69" s="308">
        <f>GETPIVOTDATA("Sum of New G E-Learning",'Pivot Table for Fact Book'!$A$3,"State","AR","type",2,"Type2","Four-Year")</f>
        <v>12078</v>
      </c>
      <c r="F69" s="307">
        <f>GETPIVOTDATA("Sum of Old G E-Learning",'Pivot Table for Fact Book'!$A$3,"State","AR","type",3,"Type2","Four-Year")</f>
        <v>95571</v>
      </c>
      <c r="G69" s="308">
        <f>GETPIVOTDATA("Sum of New G E-Learning",'Pivot Table for Fact Book'!$A$3,"State","AR","type",3,"Type2","Four-Year")</f>
        <v>101827</v>
      </c>
      <c r="H69" s="307">
        <f>GETPIVOTDATA("Sum of Old G E-Learning",'Pivot Table for Fact Book'!$A$3,"State","AR","type",4,"Type2","Four-Year")</f>
        <v>26143</v>
      </c>
      <c r="I69" s="308">
        <f>GETPIVOTDATA("Sum of New G E-Learning",'Pivot Table for Fact Book'!$A$3,"State","AR","type",4,"Type2","Four-Year")</f>
        <v>21768</v>
      </c>
      <c r="J69" s="307">
        <f>GETPIVOTDATA("Sum of Old G E-Learning",'Pivot Table for Fact Book'!$A$3,"State","AR","type",5,"Type2","Four-Year")</f>
        <v>3774</v>
      </c>
      <c r="K69" s="308">
        <f>GETPIVOTDATA("Sum of New G E-Learning",'Pivot Table for Fact Book'!$A$3,"State","AR","type",5,"Type2","Four-Year")</f>
        <v>4938</v>
      </c>
      <c r="L69" s="307">
        <f>GETPIVOTDATA("Sum of Old G E-Learning",'Pivot Table for Fact Book'!$A$3,"State","AR","type",6,"Type2","Four-Year")</f>
        <v>558</v>
      </c>
      <c r="M69" s="308">
        <f>GETPIVOTDATA("Sum of New G E-Learning",'Pivot Table for Fact Book'!$A$3,"State","AR","type",6,"Type2","Four-Year")</f>
        <v>486</v>
      </c>
      <c r="N69" s="307">
        <f>GETPIVOTDATA("Sum of Old G E-Learning",'Pivot Table for Fact Book'!$A$3,"State","AR","type",15,"Type2","Four-Year")</f>
        <v>5090</v>
      </c>
      <c r="O69" s="308">
        <f>GETPIVOTDATA("Sum of New G E-Learning",'Pivot Table for Fact Book'!$A$3,"State","AR","type",15,"Type2","Four-Year")</f>
        <v>0</v>
      </c>
      <c r="P69" s="309">
        <f>GETPIVOTDATA("Sum of Old G E-Learning",'Pivot Table for Fact Book'!$A$3,"State","AR","Type2","Four-Year")</f>
        <v>164962</v>
      </c>
      <c r="Q69" s="309">
        <f>GETPIVOTDATA("Sum of New G E-Learning",'Pivot Table for Fact Book'!$A$3,"State","AR","Type2","Four-Year")</f>
        <v>165407</v>
      </c>
    </row>
    <row r="70" spans="1:17">
      <c r="A70" s="320" t="s">
        <v>887</v>
      </c>
      <c r="B70" s="307">
        <f>GETPIVOTDATA("Sum of Old G E-Learning",'Pivot Table for Fact Book'!$A$3,"State","DE","type",1,"Type2","Four-Year")</f>
        <v>5652</v>
      </c>
      <c r="C70" s="308">
        <f>GETPIVOTDATA("Sum of New G E-Learning",'Pivot Table for Fact Book'!$A$3,"State","DE","type",1,"Type2","Four-Year")</f>
        <v>7643</v>
      </c>
      <c r="D70" s="307">
        <f>GETPIVOTDATA("Sum of Old G E-Learning",'Pivot Table for Fact Book'!$A$3,"State","DE","type",2,"Type2","Four-Year")</f>
        <v>0</v>
      </c>
      <c r="E70" s="308">
        <f>GETPIVOTDATA("Sum of New G E-Learning",'Pivot Table for Fact Book'!$A$3,"State","DE","type",2,"Type2","Four-Year")</f>
        <v>0</v>
      </c>
      <c r="F70" s="307">
        <f>GETPIVOTDATA("Sum of Old G E-Learning",'Pivot Table for Fact Book'!$A$3,"State","DE","type",3,"Type2","Four-Year")</f>
        <v>330</v>
      </c>
      <c r="G70" s="308">
        <f>GETPIVOTDATA("Sum of New G E-Learning",'Pivot Table for Fact Book'!$A$3,"State","DE","type",3,"Type2","Four-Year")</f>
        <v>570</v>
      </c>
      <c r="H70" s="307">
        <f>GETPIVOTDATA("Sum of Old G E-Learning",'Pivot Table for Fact Book'!$A$3,"State","DE","type",4,"Type2","Four-Year")</f>
        <v>0</v>
      </c>
      <c r="I70" s="308">
        <f>GETPIVOTDATA("Sum of New G E-Learning",'Pivot Table for Fact Book'!$A$3,"State","DE","type",4,"Type2","Four-Year")</f>
        <v>0</v>
      </c>
      <c r="J70" s="307">
        <f>GETPIVOTDATA("Sum of Old G E-Learning",'Pivot Table for Fact Book'!$A$3,"State","DE","type",5,"Type2","Four-Year")</f>
        <v>0</v>
      </c>
      <c r="K70" s="308">
        <f>GETPIVOTDATA("Sum of New G E-Learning",'Pivot Table for Fact Book'!$A$3,"State","DE","type",5,"Type2","Four-Year")</f>
        <v>0</v>
      </c>
      <c r="L70" s="307">
        <f>GETPIVOTDATA("Sum of Old G E-Learning",'Pivot Table for Fact Book'!$A$3,"State","DE","type",6,"Type2","Four-Year")</f>
        <v>0</v>
      </c>
      <c r="M70" s="308">
        <f>GETPIVOTDATA("Sum of New G E-Learning",'Pivot Table for Fact Book'!$A$3,"State","DE","type",6,"Type2","Four-Year")</f>
        <v>0</v>
      </c>
      <c r="N70" s="307">
        <f>GETPIVOTDATA("Sum of Old G E-Learning",'Pivot Table for Fact Book'!$A$3,"State","DE","type",15,"Type2","Four-Year")</f>
        <v>0</v>
      </c>
      <c r="O70" s="308">
        <f>GETPIVOTDATA("Sum of New G E-Learning",'Pivot Table for Fact Book'!$A$3,"State","DE","type",15,"Type2","Four-Year")</f>
        <v>0</v>
      </c>
      <c r="P70" s="309">
        <f>GETPIVOTDATA("Sum of Old G E-Learning",'Pivot Table for Fact Book'!$A$3,"State","DE","Type2","Four-Year")</f>
        <v>5982</v>
      </c>
      <c r="Q70" s="309">
        <f>GETPIVOTDATA("Sum of New G E-Learning",'Pivot Table for Fact Book'!$A$3,"State","DE","Type2","Four-Year")</f>
        <v>8213</v>
      </c>
    </row>
    <row r="71" spans="1:17">
      <c r="A71" s="320" t="s">
        <v>888</v>
      </c>
      <c r="B71" s="307">
        <f>GETPIVOTDATA("Sum of Old G E-Learning",'Pivot Table for Fact Book'!$A$3,"State","FL","type",1,"Type2","Four-Year")</f>
        <v>0</v>
      </c>
      <c r="C71" s="308">
        <f>GETPIVOTDATA("Sum of New G E-Learning",'Pivot Table for Fact Book'!$A$3,"State","FL","type",1,"Type2","Four-Year")</f>
        <v>0</v>
      </c>
      <c r="D71" s="307">
        <f>GETPIVOTDATA("Sum of Old G E-Learning",'Pivot Table for Fact Book'!$A$3,"State","FL","type",2,"Type2","Four-Year")</f>
        <v>0</v>
      </c>
      <c r="E71" s="308">
        <f>GETPIVOTDATA("Sum of New G E-Learning",'Pivot Table for Fact Book'!$A$3,"State","FL","type",2,"Type2","Four-Year")</f>
        <v>0</v>
      </c>
      <c r="F71" s="307">
        <f>GETPIVOTDATA("Sum of Old G E-Learning",'Pivot Table for Fact Book'!$A$3,"State","FL","type",3,"Type2","Four-Year")</f>
        <v>0</v>
      </c>
      <c r="G71" s="308">
        <f>GETPIVOTDATA("Sum of New G E-Learning",'Pivot Table for Fact Book'!$A$3,"State","FL","type",3,"Type2","Four-Year")</f>
        <v>0</v>
      </c>
      <c r="H71" s="307">
        <f>GETPIVOTDATA("Sum of Old G E-Learning",'Pivot Table for Fact Book'!$A$3,"State","FL","type",4,"Type2","Four-Year")</f>
        <v>0</v>
      </c>
      <c r="I71" s="308">
        <f>GETPIVOTDATA("Sum of New G E-Learning",'Pivot Table for Fact Book'!$A$3,"State","FL","type",4,"Type2","Four-Year")</f>
        <v>0</v>
      </c>
      <c r="J71" s="307">
        <f>GETPIVOTDATA("Sum of Old G E-Learning",'Pivot Table for Fact Book'!$A$3,"State","FL","type",5,"Type2","Four-Year")</f>
        <v>0</v>
      </c>
      <c r="K71" s="308">
        <f>GETPIVOTDATA("Sum of New G E-Learning",'Pivot Table for Fact Book'!$A$3,"State","FL","type",5,"Type2","Four-Year")</f>
        <v>0</v>
      </c>
      <c r="L71" s="307">
        <f>GETPIVOTDATA("Sum of Old G E-Learning",'Pivot Table for Fact Book'!$A$3,"State","FL","type",6,"Type2","Four-Year")</f>
        <v>0</v>
      </c>
      <c r="M71" s="308">
        <f>GETPIVOTDATA("Sum of New G E-Learning",'Pivot Table for Fact Book'!$A$3,"State","FL","type",6,"Type2","Four-Year")</f>
        <v>0</v>
      </c>
      <c r="N71" s="307">
        <f>GETPIVOTDATA("Sum of Old G E-Learning",'Pivot Table for Fact Book'!$A$3,"State","FL","type",15,"Type2","Four-Year")</f>
        <v>0</v>
      </c>
      <c r="O71" s="308">
        <f>GETPIVOTDATA("Sum of New G E-Learning",'Pivot Table for Fact Book'!$A$3,"State","FL","type",15,"Type2","Four-Year")</f>
        <v>0</v>
      </c>
      <c r="P71" s="309">
        <f>GETPIVOTDATA("Sum of Old G E-Learning",'Pivot Table for Fact Book'!$A$3,"State","FL","Type2","Four-Year")</f>
        <v>0</v>
      </c>
      <c r="Q71" s="309">
        <f>GETPIVOTDATA("Sum of New G E-Learning",'Pivot Table for Fact Book'!$A$3,"State","FL","Type2","Four-Year")</f>
        <v>0</v>
      </c>
    </row>
    <row r="72" spans="1:17">
      <c r="A72" s="320" t="s">
        <v>889</v>
      </c>
      <c r="B72" s="307">
        <f>GETPIVOTDATA("Sum of Old G E-Learning",'Pivot Table for Fact Book'!$A$3,"State","GA","type",1,"Type2","Four-Year")</f>
        <v>21584.5</v>
      </c>
      <c r="C72" s="308">
        <f>GETPIVOTDATA("Sum of New G E-Learning",'Pivot Table for Fact Book'!$A$3,"State","GA","type",1,"Type2","Four-Year")</f>
        <v>25701</v>
      </c>
      <c r="D72" s="307">
        <f>GETPIVOTDATA("Sum of Old G E-Learning",'Pivot Table for Fact Book'!$A$3,"State","GA","type",2,"Type2","Four-Year")</f>
        <v>30840</v>
      </c>
      <c r="E72" s="308">
        <f>GETPIVOTDATA("Sum of New G E-Learning",'Pivot Table for Fact Book'!$A$3,"State","GA","type",2,"Type2","Four-Year")</f>
        <v>56925</v>
      </c>
      <c r="F72" s="307">
        <f>GETPIVOTDATA("Sum of Old G E-Learning",'Pivot Table for Fact Book'!$A$3,"State","GA","type",3,"Type2","Four-Year")</f>
        <v>113965</v>
      </c>
      <c r="G72" s="308">
        <f>GETPIVOTDATA("Sum of New G E-Learning",'Pivot Table for Fact Book'!$A$3,"State","GA","type",3,"Type2","Four-Year")</f>
        <v>121482</v>
      </c>
      <c r="H72" s="307">
        <f>GETPIVOTDATA("Sum of Old G E-Learning",'Pivot Table for Fact Book'!$A$3,"State","GA","type",4,"Type2","Four-Year")</f>
        <v>54409</v>
      </c>
      <c r="I72" s="308">
        <f>GETPIVOTDATA("Sum of New G E-Learning",'Pivot Table for Fact Book'!$A$3,"State","GA","type",4,"Type2","Four-Year")</f>
        <v>62374</v>
      </c>
      <c r="J72" s="307">
        <f>GETPIVOTDATA("Sum of Old G E-Learning",'Pivot Table for Fact Book'!$A$3,"State","GA","type",5,"Type2","Four-Year")</f>
        <v>453</v>
      </c>
      <c r="K72" s="308">
        <f>GETPIVOTDATA("Sum of New G E-Learning",'Pivot Table for Fact Book'!$A$3,"State","GA","type",5,"Type2","Four-Year")</f>
        <v>900</v>
      </c>
      <c r="L72" s="307">
        <f>GETPIVOTDATA("Sum of Old G E-Learning",'Pivot Table for Fact Book'!$A$3,"State","GA","type",6,"Type2","Four-Year")</f>
        <v>1203</v>
      </c>
      <c r="M72" s="308">
        <f>GETPIVOTDATA("Sum of New G E-Learning",'Pivot Table for Fact Book'!$A$3,"State","GA","type",6,"Type2","Four-Year")</f>
        <v>1763</v>
      </c>
      <c r="N72" s="307">
        <f>GETPIVOTDATA("Sum of Old G E-Learning",'Pivot Table for Fact Book'!$A$3,"State","GA","type",15,"Type2","Four-Year")</f>
        <v>0</v>
      </c>
      <c r="O72" s="308">
        <f>GETPIVOTDATA("Sum of New G E-Learning",'Pivot Table for Fact Book'!$A$3,"State","GA","type",15,"Type2","Four-Year")</f>
        <v>0</v>
      </c>
      <c r="P72" s="309">
        <f>GETPIVOTDATA("Sum of Old G E-Learning",'Pivot Table for Fact Book'!$A$3,"State","GA","Type2","Four-Year")</f>
        <v>222454.5</v>
      </c>
      <c r="Q72" s="309">
        <f>GETPIVOTDATA("Sum of New G E-Learning",'Pivot Table for Fact Book'!$A$3,"State","GA","Type2","Four-Year")</f>
        <v>269145</v>
      </c>
    </row>
    <row r="73" spans="1:17">
      <c r="A73" s="320" t="s">
        <v>890</v>
      </c>
      <c r="B73" s="307">
        <f>GETPIVOTDATA("Sum of Old G E-Learning",'Pivot Table for Fact Book'!$A$3,"State","KY","type",1,"Type2","Four-Year")</f>
        <v>28561</v>
      </c>
      <c r="C73" s="308">
        <f>GETPIVOTDATA("Sum of New G E-Learning",'Pivot Table for Fact Book'!$A$3,"State","KY","type",1,"Type2","Four-Year")</f>
        <v>34381</v>
      </c>
      <c r="D73" s="307">
        <f>GETPIVOTDATA("Sum of Old G E-Learning",'Pivot Table for Fact Book'!$A$3,"State","KY","type",2,"Type2","Four-Year")</f>
        <v>0</v>
      </c>
      <c r="E73" s="308">
        <f>GETPIVOTDATA("Sum of New G E-Learning",'Pivot Table for Fact Book'!$A$3,"State","KY","type",2,"Type2","Four-Year")</f>
        <v>0</v>
      </c>
      <c r="F73" s="307">
        <f>GETPIVOTDATA("Sum of Old G E-Learning",'Pivot Table for Fact Book'!$A$3,"State","KY","type",3,"Type2","Four-Year")</f>
        <v>82833</v>
      </c>
      <c r="G73" s="308">
        <f>GETPIVOTDATA("Sum of New G E-Learning",'Pivot Table for Fact Book'!$A$3,"State","KY","type",3,"Type2","Four-Year")</f>
        <v>79746</v>
      </c>
      <c r="H73" s="307">
        <f>GETPIVOTDATA("Sum of Old G E-Learning",'Pivot Table for Fact Book'!$A$3,"State","KY","type",4,"Type2","Four-Year")</f>
        <v>431</v>
      </c>
      <c r="I73" s="308">
        <f>GETPIVOTDATA("Sum of New G E-Learning",'Pivot Table for Fact Book'!$A$3,"State","KY","type",4,"Type2","Four-Year")</f>
        <v>463</v>
      </c>
      <c r="J73" s="307">
        <f>GETPIVOTDATA("Sum of Old G E-Learning",'Pivot Table for Fact Book'!$A$3,"State","KY","type",5,"Type2","Four-Year")</f>
        <v>0</v>
      </c>
      <c r="K73" s="308">
        <f>GETPIVOTDATA("Sum of New G E-Learning",'Pivot Table for Fact Book'!$A$3,"State","KY","type",5,"Type2","Four-Year")</f>
        <v>0</v>
      </c>
      <c r="L73" s="307">
        <f>GETPIVOTDATA("Sum of Old G E-Learning",'Pivot Table for Fact Book'!$A$3,"State","KY","type",6,"Type2","Four-Year")</f>
        <v>0</v>
      </c>
      <c r="M73" s="308">
        <f>GETPIVOTDATA("Sum of New G E-Learning",'Pivot Table for Fact Book'!$A$3,"State","KY","type",6,"Type2","Four-Year")</f>
        <v>0</v>
      </c>
      <c r="N73" s="307">
        <f>GETPIVOTDATA("Sum of Old G E-Learning",'Pivot Table for Fact Book'!$A$3,"State","KY","type",15,"Type2","Four-Year")</f>
        <v>0</v>
      </c>
      <c r="O73" s="308">
        <f>GETPIVOTDATA("Sum of New G E-Learning",'Pivot Table for Fact Book'!$A$3,"State","KY","type",15,"Type2","Four-Year")</f>
        <v>0</v>
      </c>
      <c r="P73" s="309">
        <f>GETPIVOTDATA("Sum of Old G E-Learning",'Pivot Table for Fact Book'!$A$3,"State","KY","Type2","Four-Year")</f>
        <v>111825</v>
      </c>
      <c r="Q73" s="309">
        <f>GETPIVOTDATA("Sum of New G E-Learning",'Pivot Table for Fact Book'!$A$3,"State","KY","Type2","Four-Year")</f>
        <v>114590</v>
      </c>
    </row>
    <row r="74" spans="1:17">
      <c r="A74" s="320" t="s">
        <v>891</v>
      </c>
      <c r="B74" s="307">
        <f>GETPIVOTDATA("Sum of Old G E-Learning",'Pivot Table for Fact Book'!$A$3,"State","LA","type",1,"Type2","Four-Year")</f>
        <v>5569.1396780303003</v>
      </c>
      <c r="C74" s="308">
        <f>GETPIVOTDATA("Sum of New G E-Learning",'Pivot Table for Fact Book'!$A$3,"State","LA","type",1,"Type2","Four-Year")</f>
        <v>5784.9334241775396</v>
      </c>
      <c r="D74" s="307">
        <f>GETPIVOTDATA("Sum of Old G E-Learning",'Pivot Table for Fact Book'!$A$3,"State","LA","type",2,"Type2","Four-Year")</f>
        <v>11235.47600866102</v>
      </c>
      <c r="E74" s="308">
        <f>GETPIVOTDATA("Sum of New G E-Learning",'Pivot Table for Fact Book'!$A$3,"State","LA","type",2,"Type2","Four-Year")</f>
        <v>12530.648206970331</v>
      </c>
      <c r="F74" s="307">
        <f>GETPIVOTDATA("Sum of Old G E-Learning",'Pivot Table for Fact Book'!$A$3,"State","LA","type",3,"Type2","Four-Year")</f>
        <v>27301.537926074998</v>
      </c>
      <c r="G74" s="308">
        <f>GETPIVOTDATA("Sum of New G E-Learning",'Pivot Table for Fact Book'!$A$3,"State","LA","type",3,"Type2","Four-Year")</f>
        <v>30440.624580015541</v>
      </c>
      <c r="H74" s="307">
        <f>GETPIVOTDATA("Sum of Old G E-Learning",'Pivot Table for Fact Book'!$A$3,"State","LA","type",4,"Type2","Four-Year")</f>
        <v>43309.512753531497</v>
      </c>
      <c r="I74" s="308">
        <f>GETPIVOTDATA("Sum of New G E-Learning",'Pivot Table for Fact Book'!$A$3,"State","LA","type",4,"Type2","Four-Year")</f>
        <v>51785.834989833449</v>
      </c>
      <c r="J74" s="307">
        <f>GETPIVOTDATA("Sum of Old G E-Learning",'Pivot Table for Fact Book'!$A$3,"State","LA","type",5,"Type2","Four-Year")</f>
        <v>1757.07772020725</v>
      </c>
      <c r="K74" s="308">
        <f>GETPIVOTDATA("Sum of New G E-Learning",'Pivot Table for Fact Book'!$A$3,"State","LA","type",5,"Type2","Four-Year")</f>
        <v>1327.5</v>
      </c>
      <c r="L74" s="307">
        <f>GETPIVOTDATA("Sum of Old G E-Learning",'Pivot Table for Fact Book'!$A$3,"State","LA","type",6,"Type2","Four-Year")</f>
        <v>0</v>
      </c>
      <c r="M74" s="308">
        <f>GETPIVOTDATA("Sum of New G E-Learning",'Pivot Table for Fact Book'!$A$3,"State","LA","type",6,"Type2","Four-Year")</f>
        <v>0</v>
      </c>
      <c r="N74" s="307">
        <f>GETPIVOTDATA("Sum of Old G E-Learning",'Pivot Table for Fact Book'!$A$3,"State","LA","type",15,"Type2","Four-Year")</f>
        <v>0</v>
      </c>
      <c r="O74" s="308">
        <f>GETPIVOTDATA("Sum of New G E-Learning",'Pivot Table for Fact Book'!$A$3,"State","LA","type",15,"Type2","Four-Year")</f>
        <v>0</v>
      </c>
      <c r="P74" s="309">
        <f>GETPIVOTDATA("Sum of Old G E-Learning",'Pivot Table for Fact Book'!$A$3,"State","LA","Type2","Four-Year")</f>
        <v>89172.744086505074</v>
      </c>
      <c r="Q74" s="309">
        <f>GETPIVOTDATA("Sum of New G E-Learning",'Pivot Table for Fact Book'!$A$3,"State","LA","Type2","Four-Year")</f>
        <v>101869.54120099686</v>
      </c>
    </row>
    <row r="75" spans="1:17">
      <c r="A75" s="320" t="s">
        <v>892</v>
      </c>
      <c r="B75" s="307">
        <f>GETPIVOTDATA("Sum of Old G E-Learning",'Pivot Table for Fact Book'!$A$3,"State","MD","type",1,"Type2","Four-Year")</f>
        <v>11885</v>
      </c>
      <c r="C75" s="308">
        <f>GETPIVOTDATA("Sum of New G E-Learning",'Pivot Table for Fact Book'!$A$3,"State","MD","type",1,"Type2","Four-Year")</f>
        <v>15852</v>
      </c>
      <c r="D75" s="307">
        <f>GETPIVOTDATA("Sum of Old G E-Learning",'Pivot Table for Fact Book'!$A$3,"State","MD","type",2,"Type2","Four-Year")</f>
        <v>12354</v>
      </c>
      <c r="E75" s="308">
        <f>GETPIVOTDATA("Sum of New G E-Learning",'Pivot Table for Fact Book'!$A$3,"State","MD","type",2,"Type2","Four-Year")</f>
        <v>12780</v>
      </c>
      <c r="F75" s="307">
        <f>GETPIVOTDATA("Sum of Old G E-Learning",'Pivot Table for Fact Book'!$A$3,"State","MD","type",3,"Type2","Four-Year")</f>
        <v>19839</v>
      </c>
      <c r="G75" s="308">
        <f>GETPIVOTDATA("Sum of New G E-Learning",'Pivot Table for Fact Book'!$A$3,"State","MD","type",3,"Type2","Four-Year")</f>
        <v>20633</v>
      </c>
      <c r="H75" s="307">
        <f>GETPIVOTDATA("Sum of Old G E-Learning",'Pivot Table for Fact Book'!$A$3,"State","MD","type",4,"Type2","Four-Year")</f>
        <v>21473</v>
      </c>
      <c r="I75" s="308">
        <f>GETPIVOTDATA("Sum of New G E-Learning",'Pivot Table for Fact Book'!$A$3,"State","MD","type",4,"Type2","Four-Year")</f>
        <v>20734</v>
      </c>
      <c r="J75" s="307">
        <f>GETPIVOTDATA("Sum of Old G E-Learning",'Pivot Table for Fact Book'!$A$3,"State","MD","type",5,"Type2","Four-Year")</f>
        <v>798</v>
      </c>
      <c r="K75" s="308">
        <f>GETPIVOTDATA("Sum of New G E-Learning",'Pivot Table for Fact Book'!$A$3,"State","MD","type",5,"Type2","Four-Year")</f>
        <v>641</v>
      </c>
      <c r="L75" s="307">
        <f>GETPIVOTDATA("Sum of Old G E-Learning",'Pivot Table for Fact Book'!$A$3,"State","MD","type",6,"Type2","Four-Year")</f>
        <v>0</v>
      </c>
      <c r="M75" s="308">
        <f>GETPIVOTDATA("Sum of New G E-Learning",'Pivot Table for Fact Book'!$A$3,"State","MD","type",6,"Type2","Four-Year")</f>
        <v>0</v>
      </c>
      <c r="N75" s="307">
        <f>GETPIVOTDATA("Sum of Old G E-Learning",'Pivot Table for Fact Book'!$A$3,"State","MD","type",15,"Type2","Four-Year")</f>
        <v>202293</v>
      </c>
      <c r="O75" s="308">
        <f>GETPIVOTDATA("Sum of New G E-Learning",'Pivot Table for Fact Book'!$A$3,"State","MD","type",15,"Type2","Four-Year")</f>
        <v>220645</v>
      </c>
      <c r="P75" s="309">
        <f>GETPIVOTDATA("Sum of Old G E-Learning",'Pivot Table for Fact Book'!$A$3,"State","MD","Type2","Four-Year")</f>
        <v>268642</v>
      </c>
      <c r="Q75" s="309">
        <f>GETPIVOTDATA("Sum of New G E-Learning",'Pivot Table for Fact Book'!$A$3,"State","MD","Type2","Four-Year")</f>
        <v>291285</v>
      </c>
    </row>
    <row r="76" spans="1:17">
      <c r="A76" s="320" t="s">
        <v>893</v>
      </c>
      <c r="B76" s="307">
        <f>GETPIVOTDATA("Sum of Old G E-Learning",'Pivot Table for Fact Book'!$A$3,"State","MS","type",1,"Type2","Four-Year")</f>
        <v>30282</v>
      </c>
      <c r="C76" s="308">
        <f>GETPIVOTDATA("Sum of New G E-Learning",'Pivot Table for Fact Book'!$A$3,"State","MS","type",1,"Type2","Four-Year")</f>
        <v>31902</v>
      </c>
      <c r="D76" s="307">
        <f>GETPIVOTDATA("Sum of Old G E-Learning",'Pivot Table for Fact Book'!$A$3,"State","MS","type",2,"Type2","Four-Year")</f>
        <v>20431</v>
      </c>
      <c r="E76" s="308">
        <f>GETPIVOTDATA("Sum of New G E-Learning",'Pivot Table for Fact Book'!$A$3,"State","MS","type",2,"Type2","Four-Year")</f>
        <v>21628</v>
      </c>
      <c r="F76" s="307">
        <f>GETPIVOTDATA("Sum of Old G E-Learning",'Pivot Table for Fact Book'!$A$3,"State","MS","type",3,"Type2","Four-Year")</f>
        <v>0</v>
      </c>
      <c r="G76" s="308">
        <f>GETPIVOTDATA("Sum of New G E-Learning",'Pivot Table for Fact Book'!$A$3,"State","MS","type",3,"Type2","Four-Year")</f>
        <v>0</v>
      </c>
      <c r="H76" s="307">
        <f>GETPIVOTDATA("Sum of Old G E-Learning",'Pivot Table for Fact Book'!$A$3,"State","MS","type",4,"Type2","Four-Year")</f>
        <v>30699</v>
      </c>
      <c r="I76" s="308">
        <f>GETPIVOTDATA("Sum of New G E-Learning",'Pivot Table for Fact Book'!$A$3,"State","MS","type",4,"Type2","Four-Year")</f>
        <v>30658</v>
      </c>
      <c r="J76" s="307">
        <f>GETPIVOTDATA("Sum of Old G E-Learning",'Pivot Table for Fact Book'!$A$3,"State","MS","type",5,"Type2","Four-Year")</f>
        <v>1814</v>
      </c>
      <c r="K76" s="308">
        <f>GETPIVOTDATA("Sum of New G E-Learning",'Pivot Table for Fact Book'!$A$3,"State","MS","type",5,"Type2","Four-Year")</f>
        <v>1585</v>
      </c>
      <c r="L76" s="307">
        <f>GETPIVOTDATA("Sum of Old G E-Learning",'Pivot Table for Fact Book'!$A$3,"State","MS","type",6,"Type2","Four-Year")</f>
        <v>0</v>
      </c>
      <c r="M76" s="308">
        <f>GETPIVOTDATA("Sum of New G E-Learning",'Pivot Table for Fact Book'!$A$3,"State","MS","type",6,"Type2","Four-Year")</f>
        <v>0</v>
      </c>
      <c r="N76" s="307">
        <f>GETPIVOTDATA("Sum of Old G E-Learning",'Pivot Table for Fact Book'!$A$3,"State","MS","type",15,"Type2","Four-Year")</f>
        <v>0</v>
      </c>
      <c r="O76" s="308">
        <f>GETPIVOTDATA("Sum of New G E-Learning",'Pivot Table for Fact Book'!$A$3,"State","MS","type",15,"Type2","Four-Year")</f>
        <v>0</v>
      </c>
      <c r="P76" s="309">
        <f>GETPIVOTDATA("Sum of Old G E-Learning",'Pivot Table for Fact Book'!$A$3,"State","MS","Type2","Four-Year")</f>
        <v>83226</v>
      </c>
      <c r="Q76" s="309">
        <f>GETPIVOTDATA("Sum of New G E-Learning",'Pivot Table for Fact Book'!$A$3,"State","MS","Type2","Four-Year")</f>
        <v>85773</v>
      </c>
    </row>
    <row r="77" spans="1:17">
      <c r="A77" s="320" t="s">
        <v>894</v>
      </c>
      <c r="B77" s="307">
        <f>GETPIVOTDATA("Sum of Old G E-Learning",'Pivot Table for Fact Book'!$A$3,"State","NC","type",1,"Type2","Four-Year")</f>
        <v>91023</v>
      </c>
      <c r="C77" s="308">
        <f>GETPIVOTDATA("Sum of New G E-Learning",'Pivot Table for Fact Book'!$A$3,"State","NC","type",1,"Type2","Four-Year")</f>
        <v>91715</v>
      </c>
      <c r="D77" s="307">
        <f>GETPIVOTDATA("Sum of Old G E-Learning",'Pivot Table for Fact Book'!$A$3,"State","NC","type",2,"Type2","Four-Year")</f>
        <v>42033</v>
      </c>
      <c r="E77" s="308">
        <f>GETPIVOTDATA("Sum of New G E-Learning",'Pivot Table for Fact Book'!$A$3,"State","NC","type",2,"Type2","Four-Year")</f>
        <v>44994</v>
      </c>
      <c r="F77" s="307">
        <f>GETPIVOTDATA("Sum of Old G E-Learning",'Pivot Table for Fact Book'!$A$3,"State","NC","type",3,"Type2","Four-Year")</f>
        <v>47918</v>
      </c>
      <c r="G77" s="308">
        <f>GETPIVOTDATA("Sum of New G E-Learning",'Pivot Table for Fact Book'!$A$3,"State","NC","type",3,"Type2","Four-Year")</f>
        <v>55527</v>
      </c>
      <c r="H77" s="307">
        <f>GETPIVOTDATA("Sum of Old G E-Learning",'Pivot Table for Fact Book'!$A$3,"State","NC","type",4,"Type2","Four-Year")</f>
        <v>5338</v>
      </c>
      <c r="I77" s="308">
        <f>GETPIVOTDATA("Sum of New G E-Learning",'Pivot Table for Fact Book'!$A$3,"State","NC","type",4,"Type2","Four-Year")</f>
        <v>7852</v>
      </c>
      <c r="J77" s="307">
        <f>GETPIVOTDATA("Sum of Old G E-Learning",'Pivot Table for Fact Book'!$A$3,"State","NC","type",5,"Type2","Four-Year")</f>
        <v>9444</v>
      </c>
      <c r="K77" s="308">
        <f>GETPIVOTDATA("Sum of New G E-Learning",'Pivot Table for Fact Book'!$A$3,"State","NC","type",5,"Type2","Four-Year")</f>
        <v>9802</v>
      </c>
      <c r="L77" s="307">
        <f>GETPIVOTDATA("Sum of Old G E-Learning",'Pivot Table for Fact Book'!$A$3,"State","NC","type",6,"Type2","Four-Year")</f>
        <v>94</v>
      </c>
      <c r="M77" s="308">
        <f>GETPIVOTDATA("Sum of New G E-Learning",'Pivot Table for Fact Book'!$A$3,"State","NC","type",6,"Type2","Four-Year")</f>
        <v>120</v>
      </c>
      <c r="N77" s="307">
        <f>GETPIVOTDATA("Sum of Old G E-Learning",'Pivot Table for Fact Book'!$A$3,"State","NC","type",15,"Type2","Four-Year")</f>
        <v>0</v>
      </c>
      <c r="O77" s="308">
        <f>GETPIVOTDATA("Sum of New G E-Learning",'Pivot Table for Fact Book'!$A$3,"State","NC","type",15,"Type2","Four-Year")</f>
        <v>0</v>
      </c>
      <c r="P77" s="309">
        <f>GETPIVOTDATA("Sum of Old G E-Learning",'Pivot Table for Fact Book'!$A$3,"State","NC","Type2","Four-Year")</f>
        <v>195850</v>
      </c>
      <c r="Q77" s="309">
        <f>GETPIVOTDATA("Sum of New G E-Learning",'Pivot Table for Fact Book'!$A$3,"State","NC","Type2","Four-Year")</f>
        <v>210010</v>
      </c>
    </row>
    <row r="78" spans="1:17">
      <c r="A78" s="320" t="s">
        <v>895</v>
      </c>
      <c r="B78" s="307">
        <f>GETPIVOTDATA("Sum of Old G E-Learning",'Pivot Table for Fact Book'!$A$3,"State","OK","type",1,"Type2","Four-Year")</f>
        <v>37676</v>
      </c>
      <c r="C78" s="308">
        <f>GETPIVOTDATA("Sum of New G E-Learning",'Pivot Table for Fact Book'!$A$3,"State","OK","type",1,"Type2","Four-Year")</f>
        <v>45051</v>
      </c>
      <c r="D78" s="307">
        <f>GETPIVOTDATA("Sum of Old G E-Learning",'Pivot Table for Fact Book'!$A$3,"State","OK","type",2,"Type2","Four-Year")</f>
        <v>0</v>
      </c>
      <c r="E78" s="308">
        <f>GETPIVOTDATA("Sum of New G E-Learning",'Pivot Table for Fact Book'!$A$3,"State","OK","type",2,"Type2","Four-Year")</f>
        <v>0</v>
      </c>
      <c r="F78" s="307">
        <f>GETPIVOTDATA("Sum of Old G E-Learning",'Pivot Table for Fact Book'!$A$3,"State","OK","type",3,"Type2","Four-Year")</f>
        <v>8843</v>
      </c>
      <c r="G78" s="308">
        <f>GETPIVOTDATA("Sum of New G E-Learning",'Pivot Table for Fact Book'!$A$3,"State","OK","type",3,"Type2","Four-Year")</f>
        <v>9407</v>
      </c>
      <c r="H78" s="307">
        <f>GETPIVOTDATA("Sum of Old G E-Learning",'Pivot Table for Fact Book'!$A$3,"State","OK","type",4,"Type2","Four-Year")</f>
        <v>11899</v>
      </c>
      <c r="I78" s="308">
        <f>GETPIVOTDATA("Sum of New G E-Learning",'Pivot Table for Fact Book'!$A$3,"State","OK","type",4,"Type2","Four-Year")</f>
        <v>16812</v>
      </c>
      <c r="J78" s="307">
        <f>GETPIVOTDATA("Sum of Old G E-Learning",'Pivot Table for Fact Book'!$A$3,"State","OK","type",5,"Type2","Four-Year")</f>
        <v>16769</v>
      </c>
      <c r="K78" s="308">
        <f>GETPIVOTDATA("Sum of New G E-Learning",'Pivot Table for Fact Book'!$A$3,"State","OK","type",5,"Type2","Four-Year")</f>
        <v>13243</v>
      </c>
      <c r="L78" s="307">
        <f>GETPIVOTDATA("Sum of Old G E-Learning",'Pivot Table for Fact Book'!$A$3,"State","OK","type",6,"Type2","Four-Year")</f>
        <v>0</v>
      </c>
      <c r="M78" s="308">
        <f>GETPIVOTDATA("Sum of New G E-Learning",'Pivot Table for Fact Book'!$A$3,"State","OK","type",6,"Type2","Four-Year")</f>
        <v>45</v>
      </c>
      <c r="N78" s="307">
        <f>GETPIVOTDATA("Sum of Old G E-Learning",'Pivot Table for Fact Book'!$A$3,"State","OK","type",15,"Type2","Four-Year")</f>
        <v>0</v>
      </c>
      <c r="O78" s="308">
        <f>GETPIVOTDATA("Sum of New G E-Learning",'Pivot Table for Fact Book'!$A$3,"State","OK","type",15,"Type2","Four-Year")</f>
        <v>0</v>
      </c>
      <c r="P78" s="309">
        <f>GETPIVOTDATA("Sum of Old G E-Learning",'Pivot Table for Fact Book'!$A$3,"State","OK","Type2","Four-Year")</f>
        <v>75187</v>
      </c>
      <c r="Q78" s="309">
        <f>GETPIVOTDATA("Sum of New G E-Learning",'Pivot Table for Fact Book'!$A$3,"State","OK","Type2","Four-Year")</f>
        <v>84558</v>
      </c>
    </row>
    <row r="79" spans="1:17">
      <c r="A79" s="320" t="s">
        <v>896</v>
      </c>
      <c r="B79" s="307">
        <f>GETPIVOTDATA("Sum of Old G E-Learning",'Pivot Table for Fact Book'!$A$3,"State","SC","type",1,"Type2","Four-Year")</f>
        <v>60347</v>
      </c>
      <c r="C79" s="308">
        <f>GETPIVOTDATA("Sum of New G E-Learning",'Pivot Table for Fact Book'!$A$3,"State","SC","type",1,"Type2","Four-Year")</f>
        <v>58692</v>
      </c>
      <c r="D79" s="307">
        <f>GETPIVOTDATA("Sum of Old G E-Learning",'Pivot Table for Fact Book'!$A$3,"State","SC","type",2,"Type2","Four-Year")</f>
        <v>0</v>
      </c>
      <c r="E79" s="308">
        <f>GETPIVOTDATA("Sum of New G E-Learning",'Pivot Table for Fact Book'!$A$3,"State","SC","type",2,"Type2","Four-Year")</f>
        <v>0</v>
      </c>
      <c r="F79" s="307">
        <f>GETPIVOTDATA("Sum of Old G E-Learning",'Pivot Table for Fact Book'!$A$3,"State","SC","type",3,"Type2","Four-Year")</f>
        <v>7003</v>
      </c>
      <c r="G79" s="308">
        <f>GETPIVOTDATA("Sum of New G E-Learning",'Pivot Table for Fact Book'!$A$3,"State","SC","type",3,"Type2","Four-Year")</f>
        <v>11294</v>
      </c>
      <c r="H79" s="307">
        <f>GETPIVOTDATA("Sum of Old G E-Learning",'Pivot Table for Fact Book'!$A$3,"State","SC","type",4,"Type2","Four-Year")</f>
        <v>0</v>
      </c>
      <c r="I79" s="308">
        <f>GETPIVOTDATA("Sum of New G E-Learning",'Pivot Table for Fact Book'!$A$3,"State","SC","type",4,"Type2","Four-Year")</f>
        <v>0</v>
      </c>
      <c r="J79" s="307">
        <f>GETPIVOTDATA("Sum of Old G E-Learning",'Pivot Table for Fact Book'!$A$3,"State","SC","type",5,"Type2","Four-Year")</f>
        <v>9378</v>
      </c>
      <c r="K79" s="308">
        <f>GETPIVOTDATA("Sum of New G E-Learning",'Pivot Table for Fact Book'!$A$3,"State","SC","type",5,"Type2","Four-Year")</f>
        <v>10237</v>
      </c>
      <c r="L79" s="307">
        <f>GETPIVOTDATA("Sum of Old G E-Learning",'Pivot Table for Fact Book'!$A$3,"State","SC","type",6,"Type2","Four-Year")</f>
        <v>5207</v>
      </c>
      <c r="M79" s="308">
        <f>GETPIVOTDATA("Sum of New G E-Learning",'Pivot Table for Fact Book'!$A$3,"State","SC","type",6,"Type2","Four-Year")</f>
        <v>4236</v>
      </c>
      <c r="N79" s="307">
        <f>GETPIVOTDATA("Sum of Old G E-Learning",'Pivot Table for Fact Book'!$A$3,"State","SC","type",15,"Type2","Four-Year")</f>
        <v>0</v>
      </c>
      <c r="O79" s="308">
        <f>GETPIVOTDATA("Sum of New G E-Learning",'Pivot Table for Fact Book'!$A$3,"State","SC","type",15,"Type2","Four-Year")</f>
        <v>0</v>
      </c>
      <c r="P79" s="309">
        <f>GETPIVOTDATA("Sum of Old G E-Learning",'Pivot Table for Fact Book'!$A$3,"State","SC","Type2","Four-Year")</f>
        <v>81935</v>
      </c>
      <c r="Q79" s="309">
        <f>GETPIVOTDATA("Sum of New G E-Learning",'Pivot Table for Fact Book'!$A$3,"State","SC","Type2","Four-Year")</f>
        <v>84459</v>
      </c>
    </row>
    <row r="80" spans="1:17">
      <c r="A80" s="320" t="s">
        <v>897</v>
      </c>
      <c r="B80" s="307">
        <f>GETPIVOTDATA("Sum of Old G E-Learning",'Pivot Table for Fact Book'!$A$3,"State","TN","type",1,"Type2","Four-Year")</f>
        <v>36500</v>
      </c>
      <c r="C80" s="308">
        <f>GETPIVOTDATA("Sum of New G E-Learning",'Pivot Table for Fact Book'!$A$3,"State","TN","type",1,"Type2","Four-Year")</f>
        <v>38360</v>
      </c>
      <c r="D80" s="307">
        <f>GETPIVOTDATA("Sum of Old G E-Learning",'Pivot Table for Fact Book'!$A$3,"State","TN","type",2,"Type2","Four-Year")</f>
        <v>38421</v>
      </c>
      <c r="E80" s="308">
        <f>GETPIVOTDATA("Sum of New G E-Learning",'Pivot Table for Fact Book'!$A$3,"State","TN","type",2,"Type2","Four-Year")</f>
        <v>37947</v>
      </c>
      <c r="F80" s="307">
        <f>GETPIVOTDATA("Sum of Old G E-Learning",'Pivot Table for Fact Book'!$A$3,"State","TN","type",3,"Type2","Four-Year")</f>
        <v>29143</v>
      </c>
      <c r="G80" s="308">
        <f>GETPIVOTDATA("Sum of New G E-Learning",'Pivot Table for Fact Book'!$A$3,"State","TN","type",3,"Type2","Four-Year")</f>
        <v>30054</v>
      </c>
      <c r="H80" s="307">
        <f>GETPIVOTDATA("Sum of Old G E-Learning",'Pivot Table for Fact Book'!$A$3,"State","TN","type",4,"Type2","Four-Year")</f>
        <v>0</v>
      </c>
      <c r="I80" s="308">
        <f>GETPIVOTDATA("Sum of New G E-Learning",'Pivot Table for Fact Book'!$A$3,"State","TN","type",4,"Type2","Four-Year")</f>
        <v>0</v>
      </c>
      <c r="J80" s="307">
        <f>GETPIVOTDATA("Sum of Old G E-Learning",'Pivot Table for Fact Book'!$A$3,"State","TN","type",5,"Type2","Four-Year")</f>
        <v>5449</v>
      </c>
      <c r="K80" s="308">
        <f>GETPIVOTDATA("Sum of New G E-Learning",'Pivot Table for Fact Book'!$A$3,"State","TN","type",5,"Type2","Four-Year")</f>
        <v>5877</v>
      </c>
      <c r="L80" s="307">
        <f>GETPIVOTDATA("Sum of Old G E-Learning",'Pivot Table for Fact Book'!$A$3,"State","TN","type",6,"Type2","Four-Year")</f>
        <v>0</v>
      </c>
      <c r="M80" s="308">
        <f>GETPIVOTDATA("Sum of New G E-Learning",'Pivot Table for Fact Book'!$A$3,"State","TN","type",6,"Type2","Four-Year")</f>
        <v>0</v>
      </c>
      <c r="N80" s="307">
        <f>GETPIVOTDATA("Sum of Old G E-Learning",'Pivot Table for Fact Book'!$A$3,"State","TN","type",15,"Type2","Four-Year")</f>
        <v>0</v>
      </c>
      <c r="O80" s="308">
        <f>GETPIVOTDATA("Sum of New G E-Learning",'Pivot Table for Fact Book'!$A$3,"State","TN","type",15,"Type2","Four-Year")</f>
        <v>0</v>
      </c>
      <c r="P80" s="309">
        <f>GETPIVOTDATA("Sum of Old G E-Learning",'Pivot Table for Fact Book'!$A$3,"State","TN","Type2","Four-Year")</f>
        <v>109513</v>
      </c>
      <c r="Q80" s="309">
        <f>GETPIVOTDATA("Sum of New G E-Learning",'Pivot Table for Fact Book'!$A$3,"State","TN","Type2","Four-Year")</f>
        <v>112238</v>
      </c>
    </row>
    <row r="81" spans="1:17">
      <c r="A81" s="320" t="s">
        <v>898</v>
      </c>
      <c r="B81" s="307">
        <f>GETPIVOTDATA("Sum of Old G E-Learning",'Pivot Table for Fact Book'!$A$3,"State","TX","type",1,"Type2","Four-Year")</f>
        <v>225246</v>
      </c>
      <c r="C81" s="308">
        <f>GETPIVOTDATA("Sum of New G E-Learning",'Pivot Table for Fact Book'!$A$3,"State","TX","type",1,"Type2","Four-Year")</f>
        <v>268632</v>
      </c>
      <c r="D81" s="307">
        <f>GETPIVOTDATA("Sum of Old G E-Learning",'Pivot Table for Fact Book'!$A$3,"State","TX","type",2,"Type2","Four-Year")</f>
        <v>77760</v>
      </c>
      <c r="E81" s="308">
        <f>GETPIVOTDATA("Sum of New G E-Learning",'Pivot Table for Fact Book'!$A$3,"State","TX","type",2,"Type2","Four-Year")</f>
        <v>84347</v>
      </c>
      <c r="F81" s="307">
        <f>GETPIVOTDATA("Sum of Old G E-Learning",'Pivot Table for Fact Book'!$A$3,"State","TX","type",3,"Type2","Four-Year")</f>
        <v>385525</v>
      </c>
      <c r="G81" s="308">
        <f>GETPIVOTDATA("Sum of New G E-Learning",'Pivot Table for Fact Book'!$A$3,"State","TX","type",3,"Type2","Four-Year")</f>
        <v>424867</v>
      </c>
      <c r="H81" s="307">
        <f>GETPIVOTDATA("Sum of Old G E-Learning",'Pivot Table for Fact Book'!$A$3,"State","TX","type",4,"Type2","Four-Year")</f>
        <v>24038</v>
      </c>
      <c r="I81" s="308">
        <f>GETPIVOTDATA("Sum of New G E-Learning",'Pivot Table for Fact Book'!$A$3,"State","TX","type",4,"Type2","Four-Year")</f>
        <v>24747</v>
      </c>
      <c r="J81" s="307">
        <f>GETPIVOTDATA("Sum of Old G E-Learning",'Pivot Table for Fact Book'!$A$3,"State","TX","type",5,"Type2","Four-Year")</f>
        <v>25872</v>
      </c>
      <c r="K81" s="308">
        <f>GETPIVOTDATA("Sum of New G E-Learning",'Pivot Table for Fact Book'!$A$3,"State","TX","type",5,"Type2","Four-Year")</f>
        <v>36271</v>
      </c>
      <c r="L81" s="307">
        <f>GETPIVOTDATA("Sum of Old G E-Learning",'Pivot Table for Fact Book'!$A$3,"State","TX","type",6,"Type2","Four-Year")</f>
        <v>0</v>
      </c>
      <c r="M81" s="308">
        <f>GETPIVOTDATA("Sum of New G E-Learning",'Pivot Table for Fact Book'!$A$3,"State","TX","type",6,"Type2","Four-Year")</f>
        <v>0</v>
      </c>
      <c r="N81" s="307">
        <f>GETPIVOTDATA("Sum of Old G E-Learning",'Pivot Table for Fact Book'!$A$3,"State","TX","type",15,"Type2","Four-Year")</f>
        <v>0</v>
      </c>
      <c r="O81" s="308">
        <f>GETPIVOTDATA("Sum of New G E-Learning",'Pivot Table for Fact Book'!$A$3,"State","TX","type",15,"Type2","Four-Year")</f>
        <v>0</v>
      </c>
      <c r="P81" s="309">
        <f>GETPIVOTDATA("Sum of Old G E-Learning",'Pivot Table for Fact Book'!$A$3,"State","TX","Type2","Four-Year")</f>
        <v>738441</v>
      </c>
      <c r="Q81" s="309">
        <f>GETPIVOTDATA("Sum of New G E-Learning",'Pivot Table for Fact Book'!$A$3,"State","TX","Type2","Four-Year")</f>
        <v>838864</v>
      </c>
    </row>
    <row r="82" spans="1:17">
      <c r="A82" s="320" t="s">
        <v>899</v>
      </c>
      <c r="B82" s="307">
        <f>GETPIVOTDATA("Sum of Old G E-Learning",'Pivot Table for Fact Book'!$A$3,"State","VA","type",1,"Type2","Four-Year")</f>
        <v>86700</v>
      </c>
      <c r="C82" s="308">
        <f>GETPIVOTDATA("Sum of New G E-Learning",'Pivot Table for Fact Book'!$A$3,"State","VA","type",1,"Type2","Four-Year")</f>
        <v>98658.5</v>
      </c>
      <c r="D82" s="307">
        <f>GETPIVOTDATA("Sum of Old G E-Learning",'Pivot Table for Fact Book'!$A$3,"State","VA","type",2,"Type2","Four-Year")</f>
        <v>2408</v>
      </c>
      <c r="E82" s="308">
        <f>GETPIVOTDATA("Sum of New G E-Learning",'Pivot Table for Fact Book'!$A$3,"State","VA","type",2,"Type2","Four-Year")</f>
        <v>5751</v>
      </c>
      <c r="F82" s="307">
        <f>GETPIVOTDATA("Sum of Old G E-Learning",'Pivot Table for Fact Book'!$A$3,"State","VA","type",3,"Type2","Four-Year")</f>
        <v>16868.400000000001</v>
      </c>
      <c r="G82" s="308">
        <f>GETPIVOTDATA("Sum of New G E-Learning",'Pivot Table for Fact Book'!$A$3,"State","VA","type",3,"Type2","Four-Year")</f>
        <v>20562.8</v>
      </c>
      <c r="H82" s="307">
        <f>GETPIVOTDATA("Sum of Old G E-Learning",'Pivot Table for Fact Book'!$A$3,"State","VA","type",4,"Type2","Four-Year")</f>
        <v>0</v>
      </c>
      <c r="I82" s="308">
        <f>GETPIVOTDATA("Sum of New G E-Learning",'Pivot Table for Fact Book'!$A$3,"State","VA","type",4,"Type2","Four-Year")</f>
        <v>0</v>
      </c>
      <c r="J82" s="307">
        <f>GETPIVOTDATA("Sum of Old G E-Learning",'Pivot Table for Fact Book'!$A$3,"State","VA","type",5,"Type2","Four-Year")</f>
        <v>0</v>
      </c>
      <c r="K82" s="308">
        <f>GETPIVOTDATA("Sum of New G E-Learning",'Pivot Table for Fact Book'!$A$3,"State","VA","type",5,"Type2","Four-Year")</f>
        <v>0</v>
      </c>
      <c r="L82" s="307">
        <f>GETPIVOTDATA("Sum of Old G E-Learning",'Pivot Table for Fact Book'!$A$3,"State","VA","type",6,"Type2","Four-Year")</f>
        <v>0</v>
      </c>
      <c r="M82" s="308">
        <f>GETPIVOTDATA("Sum of New G E-Learning",'Pivot Table for Fact Book'!$A$3,"State","VA","type",6,"Type2","Four-Year")</f>
        <v>0</v>
      </c>
      <c r="N82" s="307">
        <f>GETPIVOTDATA("Sum of Old G E-Learning",'Pivot Table for Fact Book'!$A$3,"State","VA","type",15,"Type2","Four-Year")</f>
        <v>0</v>
      </c>
      <c r="O82" s="308">
        <f>GETPIVOTDATA("Sum of New G E-Learning",'Pivot Table for Fact Book'!$A$3,"State","VA","type",15,"Type2","Four-Year")</f>
        <v>0</v>
      </c>
      <c r="P82" s="309">
        <f>GETPIVOTDATA("Sum of Old G E-Learning",'Pivot Table for Fact Book'!$A$3,"State","VA","Type2","Four-Year")</f>
        <v>105976.4</v>
      </c>
      <c r="Q82" s="309">
        <f>GETPIVOTDATA("Sum of New G E-Learning",'Pivot Table for Fact Book'!$A$3,"State","VA","Type2","Four-Year")</f>
        <v>124972.3</v>
      </c>
    </row>
    <row r="83" spans="1:17">
      <c r="A83" s="341" t="s">
        <v>900</v>
      </c>
      <c r="B83" s="313">
        <f>GETPIVOTDATA("Sum of Old G E-Learning",'Pivot Table for Fact Book'!$A$3,"State","WV","type",1,"Type2","Four-Year")</f>
        <v>29020</v>
      </c>
      <c r="C83" s="314">
        <f>GETPIVOTDATA("Sum of New G E-Learning",'Pivot Table for Fact Book'!$A$3,"State","WV","type",1,"Type2","Four-Year")</f>
        <v>26755</v>
      </c>
      <c r="D83" s="313">
        <f>GETPIVOTDATA("Sum of Old G E-Learning",'Pivot Table for Fact Book'!$A$3,"State","WV","type",2,"Type2","Four-Year")</f>
        <v>0</v>
      </c>
      <c r="E83" s="314">
        <f>GETPIVOTDATA("Sum of New G E-Learning",'Pivot Table for Fact Book'!$A$3,"State","WV","type",2,"Type2","Four-Year")</f>
        <v>0</v>
      </c>
      <c r="F83" s="313">
        <f>GETPIVOTDATA("Sum of Old G E-Learning",'Pivot Table for Fact Book'!$A$3,"State","WV","type",3,"Type2","Four-Year")</f>
        <v>15885</v>
      </c>
      <c r="G83" s="314">
        <f>GETPIVOTDATA("Sum of New G E-Learning",'Pivot Table for Fact Book'!$A$3,"State","WV","type",3,"Type2","Four-Year")</f>
        <v>16372</v>
      </c>
      <c r="H83" s="313">
        <f>GETPIVOTDATA("Sum of Old G E-Learning",'Pivot Table for Fact Book'!$A$3,"State","WV","type",4,"Type2","Four-Year")</f>
        <v>0</v>
      </c>
      <c r="I83" s="314">
        <f>GETPIVOTDATA("Sum of New G E-Learning",'Pivot Table for Fact Book'!$A$3,"State","WV","type",4,"Type2","Four-Year")</f>
        <v>0</v>
      </c>
      <c r="J83" s="313">
        <f>GETPIVOTDATA("Sum of Old G E-Learning",'Pivot Table for Fact Book'!$A$3,"State","WV","type",5,"Type2","Four-Year")</f>
        <v>10522</v>
      </c>
      <c r="K83" s="314">
        <f>GETPIVOTDATA("Sum of New G E-Learning",'Pivot Table for Fact Book'!$A$3,"State","WV","type",5,"Type2","Four-Year")</f>
        <v>10678</v>
      </c>
      <c r="L83" s="313">
        <f>GETPIVOTDATA("Sum of Old G E-Learning",'Pivot Table for Fact Book'!$A$3,"State","WV","type",6,"Type2","Four-Year")</f>
        <v>312</v>
      </c>
      <c r="M83" s="314">
        <f>GETPIVOTDATA("Sum of New G E-Learning",'Pivot Table for Fact Book'!$A$3,"State","WV","type",6,"Type2","Four-Year")</f>
        <v>507</v>
      </c>
      <c r="N83" s="313">
        <f>GETPIVOTDATA("Sum of Old G E-Learning",'Pivot Table for Fact Book'!$A$3,"State","WV","type",15,"Type2","Four-Year")</f>
        <v>0</v>
      </c>
      <c r="O83" s="314">
        <f>GETPIVOTDATA("Sum of New G E-Learning",'Pivot Table for Fact Book'!$A$3,"State","WV","type",15,"Type2","Four-Year")</f>
        <v>0</v>
      </c>
      <c r="P83" s="315">
        <f>GETPIVOTDATA("Sum of Old G E-Learning",'Pivot Table for Fact Book'!$A$3,"State","WV","Type2","Four-Year")</f>
        <v>55739</v>
      </c>
      <c r="Q83" s="315">
        <f>GETPIVOTDATA("Sum of New G E-Learning",'Pivot Table for Fact Book'!$A$3,"State","WV","Type2","Four-Year")</f>
        <v>54312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CEC5-F4C6-4717-8CD3-55D5A6A6A747}">
  <sheetPr>
    <tabColor rgb="FF006600"/>
  </sheetPr>
  <dimension ref="A1:Z882"/>
  <sheetViews>
    <sheetView workbookViewId="0">
      <selection activeCell="I15" sqref="I15"/>
    </sheetView>
  </sheetViews>
  <sheetFormatPr defaultColWidth="8.88671875" defaultRowHeight="15"/>
  <cols>
    <col min="1" max="1" width="5.44140625" style="272" customWidth="1"/>
    <col min="2" max="2" width="20.88671875" style="272" customWidth="1"/>
    <col min="3" max="10" width="7.21875" style="272" customWidth="1"/>
    <col min="11" max="11" width="7.88671875" style="272" customWidth="1"/>
    <col min="12" max="15" width="8.6640625" style="272" customWidth="1"/>
    <col min="16" max="16" width="7.88671875" style="272" customWidth="1"/>
    <col min="17" max="18" width="8.6640625" style="272" customWidth="1"/>
    <col min="19" max="19" width="7.88671875" style="272" customWidth="1"/>
    <col min="20" max="22" width="8.6640625" style="272" customWidth="1"/>
    <col min="23" max="23" width="7.88671875" style="272" customWidth="1"/>
    <col min="24" max="25" width="8.6640625" style="272" customWidth="1"/>
    <col min="26" max="26" width="7.88671875" style="272" customWidth="1"/>
    <col min="27" max="16384" width="8.88671875" style="272"/>
  </cols>
  <sheetData>
    <row r="1" spans="1:26">
      <c r="A1" s="272" t="s">
        <v>782</v>
      </c>
    </row>
    <row r="2" spans="1:26">
      <c r="S2" s="273"/>
      <c r="T2" s="273"/>
    </row>
    <row r="3" spans="1:26">
      <c r="A3" s="274"/>
      <c r="B3" s="275"/>
      <c r="C3" s="219" t="s">
        <v>783</v>
      </c>
      <c r="D3" s="222" t="s">
        <v>31</v>
      </c>
      <c r="E3" s="222"/>
      <c r="F3" s="222"/>
      <c r="G3" s="222"/>
      <c r="H3" s="222"/>
      <c r="I3" s="222"/>
      <c r="J3" s="221"/>
      <c r="K3" s="222"/>
      <c r="L3" s="222"/>
      <c r="M3" s="222"/>
      <c r="N3" s="222"/>
      <c r="O3" s="221"/>
      <c r="P3" s="222"/>
      <c r="Q3" s="222"/>
      <c r="R3" s="221"/>
      <c r="S3" s="276"/>
      <c r="T3" s="277"/>
      <c r="U3" s="277"/>
      <c r="V3" s="277"/>
      <c r="W3" s="277"/>
      <c r="X3" s="277"/>
      <c r="Y3" s="277"/>
      <c r="Z3" s="277"/>
    </row>
    <row r="4" spans="1:26">
      <c r="A4" s="274"/>
      <c r="B4" s="275"/>
      <c r="C4" s="219" t="s">
        <v>784</v>
      </c>
      <c r="D4" s="220"/>
      <c r="E4" s="220"/>
      <c r="F4" s="220"/>
      <c r="G4" s="220"/>
      <c r="H4" s="220"/>
      <c r="I4" s="220"/>
      <c r="J4" s="232" t="s">
        <v>785</v>
      </c>
      <c r="K4" s="219">
        <v>14</v>
      </c>
      <c r="L4" s="278" t="s">
        <v>786</v>
      </c>
      <c r="M4" s="220" t="s">
        <v>787</v>
      </c>
      <c r="N4" s="220"/>
      <c r="O4" s="232"/>
      <c r="P4" s="219"/>
      <c r="Q4" s="278" t="s">
        <v>788</v>
      </c>
      <c r="R4" s="232" t="s">
        <v>789</v>
      </c>
      <c r="S4" s="279"/>
      <c r="T4" s="277" t="s">
        <v>790</v>
      </c>
      <c r="U4" s="277" t="s">
        <v>878</v>
      </c>
      <c r="V4" s="277" t="s">
        <v>879</v>
      </c>
      <c r="W4" s="277"/>
      <c r="X4" s="277"/>
      <c r="Y4" s="277"/>
      <c r="Z4" s="277"/>
    </row>
    <row r="5" spans="1:26">
      <c r="A5" s="280" t="s">
        <v>24</v>
      </c>
      <c r="B5" s="281" t="s">
        <v>791</v>
      </c>
      <c r="C5" s="274">
        <v>1</v>
      </c>
      <c r="D5" s="282">
        <v>2</v>
      </c>
      <c r="E5" s="282">
        <v>3</v>
      </c>
      <c r="F5" s="282">
        <v>4</v>
      </c>
      <c r="G5" s="282">
        <v>5</v>
      </c>
      <c r="H5" s="282">
        <v>6</v>
      </c>
      <c r="I5" s="282">
        <v>15</v>
      </c>
      <c r="J5" s="282"/>
      <c r="K5" s="233">
        <v>14</v>
      </c>
      <c r="L5" s="283"/>
      <c r="M5" s="284">
        <v>7</v>
      </c>
      <c r="N5" s="284">
        <v>8</v>
      </c>
      <c r="O5" s="284">
        <v>9</v>
      </c>
      <c r="P5" s="285">
        <v>10</v>
      </c>
      <c r="Q5" s="283"/>
      <c r="R5" s="284">
        <v>12</v>
      </c>
      <c r="S5" s="286">
        <v>13</v>
      </c>
      <c r="T5" s="277"/>
      <c r="U5" s="277" t="s">
        <v>878</v>
      </c>
      <c r="V5" s="277"/>
      <c r="W5" s="277"/>
      <c r="X5" s="277"/>
      <c r="Y5" s="277"/>
      <c r="Z5" s="277"/>
    </row>
    <row r="6" spans="1:26" s="292" customFormat="1">
      <c r="A6" s="287" t="s">
        <v>60</v>
      </c>
      <c r="B6" s="288" t="s">
        <v>792</v>
      </c>
      <c r="C6" s="288">
        <v>1561509</v>
      </c>
      <c r="D6" s="288">
        <v>439857.5</v>
      </c>
      <c r="E6" s="288">
        <v>1036095</v>
      </c>
      <c r="F6" s="288">
        <v>252011</v>
      </c>
      <c r="G6" s="288">
        <v>122849</v>
      </c>
      <c r="H6" s="288">
        <v>69518</v>
      </c>
      <c r="I6" s="288">
        <v>13766</v>
      </c>
      <c r="J6" s="288">
        <v>3495605.5</v>
      </c>
      <c r="K6" s="289"/>
      <c r="L6" s="290"/>
      <c r="M6" s="288"/>
      <c r="N6" s="288">
        <v>375808</v>
      </c>
      <c r="O6" s="288">
        <v>990264</v>
      </c>
      <c r="P6" s="289">
        <v>385345</v>
      </c>
      <c r="Q6" s="290">
        <v>1751417</v>
      </c>
      <c r="R6" s="288">
        <v>38556</v>
      </c>
      <c r="S6" s="291">
        <v>50373</v>
      </c>
      <c r="T6" s="277">
        <v>88929</v>
      </c>
      <c r="U6" s="277"/>
      <c r="V6" s="277"/>
      <c r="W6" s="277"/>
      <c r="X6" s="277"/>
      <c r="Y6" s="277"/>
      <c r="Z6" s="277"/>
    </row>
    <row r="7" spans="1:26" s="292" customFormat="1">
      <c r="A7" s="293"/>
      <c r="B7" s="294" t="s">
        <v>793</v>
      </c>
      <c r="C7" s="294">
        <v>1623533</v>
      </c>
      <c r="D7" s="294">
        <v>479401</v>
      </c>
      <c r="E7" s="294">
        <v>1044941</v>
      </c>
      <c r="F7" s="294">
        <v>245438</v>
      </c>
      <c r="G7" s="294">
        <v>122561</v>
      </c>
      <c r="H7" s="294">
        <v>67015</v>
      </c>
      <c r="I7" s="294">
        <v>13899</v>
      </c>
      <c r="J7" s="294">
        <v>3596788</v>
      </c>
      <c r="K7" s="295"/>
      <c r="L7" s="296"/>
      <c r="M7" s="294"/>
      <c r="N7" s="294">
        <v>367422</v>
      </c>
      <c r="O7" s="294">
        <v>921499</v>
      </c>
      <c r="P7" s="295">
        <v>342222</v>
      </c>
      <c r="Q7" s="296">
        <v>1631143</v>
      </c>
      <c r="R7" s="294">
        <v>40249</v>
      </c>
      <c r="S7" s="297">
        <v>44558</v>
      </c>
      <c r="T7" s="277">
        <v>84807</v>
      </c>
      <c r="U7" s="277"/>
      <c r="V7" s="277"/>
      <c r="W7" s="277"/>
      <c r="X7" s="277"/>
      <c r="Y7" s="277"/>
      <c r="Z7" s="277"/>
    </row>
    <row r="8" spans="1:26" s="292" customFormat="1">
      <c r="A8" s="293"/>
      <c r="B8" s="288" t="s">
        <v>794</v>
      </c>
      <c r="C8" s="288">
        <v>119258</v>
      </c>
      <c r="D8" s="288">
        <v>78369</v>
      </c>
      <c r="E8" s="288">
        <v>181877</v>
      </c>
      <c r="F8" s="288">
        <v>35627</v>
      </c>
      <c r="G8" s="288">
        <v>9621</v>
      </c>
      <c r="H8" s="288">
        <v>52366</v>
      </c>
      <c r="I8" s="288">
        <v>0</v>
      </c>
      <c r="J8" s="288">
        <v>477118</v>
      </c>
      <c r="K8" s="289">
        <v>0</v>
      </c>
      <c r="L8" s="290">
        <v>0</v>
      </c>
      <c r="M8" s="288">
        <v>0</v>
      </c>
      <c r="N8" s="288">
        <v>120150</v>
      </c>
      <c r="O8" s="288">
        <v>199822</v>
      </c>
      <c r="P8" s="289">
        <v>104647</v>
      </c>
      <c r="Q8" s="290">
        <v>424619</v>
      </c>
      <c r="R8" s="288">
        <v>3328</v>
      </c>
      <c r="S8" s="291">
        <v>6462</v>
      </c>
      <c r="T8" s="277">
        <v>9790</v>
      </c>
      <c r="U8" s="277">
        <v>0</v>
      </c>
      <c r="V8" s="277">
        <v>0</v>
      </c>
      <c r="W8" s="277"/>
      <c r="X8" s="277"/>
      <c r="Y8" s="277"/>
      <c r="Z8" s="277"/>
    </row>
    <row r="9" spans="1:26" s="292" customFormat="1">
      <c r="A9" s="293"/>
      <c r="B9" s="294" t="s">
        <v>795</v>
      </c>
      <c r="C9" s="294">
        <v>134436</v>
      </c>
      <c r="D9" s="294">
        <v>96194</v>
      </c>
      <c r="E9" s="294">
        <v>198883</v>
      </c>
      <c r="F9" s="294">
        <v>42039</v>
      </c>
      <c r="G9" s="294">
        <v>12452</v>
      </c>
      <c r="H9" s="294">
        <v>51676</v>
      </c>
      <c r="I9" s="294">
        <v>103</v>
      </c>
      <c r="J9" s="294">
        <v>535783</v>
      </c>
      <c r="K9" s="295">
        <v>0</v>
      </c>
      <c r="L9" s="296">
        <v>0</v>
      </c>
      <c r="M9" s="294">
        <v>0</v>
      </c>
      <c r="N9" s="294">
        <v>125428</v>
      </c>
      <c r="O9" s="294">
        <v>199912</v>
      </c>
      <c r="P9" s="295">
        <v>118013</v>
      </c>
      <c r="Q9" s="296">
        <v>443353</v>
      </c>
      <c r="R9" s="294">
        <v>3318</v>
      </c>
      <c r="S9" s="297">
        <v>6347</v>
      </c>
      <c r="T9" s="277">
        <v>9665</v>
      </c>
      <c r="U9" s="277">
        <v>0</v>
      </c>
      <c r="V9" s="277">
        <v>0</v>
      </c>
      <c r="W9" s="277"/>
      <c r="X9" s="277"/>
      <c r="Y9" s="277"/>
      <c r="Z9" s="277"/>
    </row>
    <row r="10" spans="1:26" s="292" customFormat="1">
      <c r="A10" s="293"/>
      <c r="B10" s="288" t="s">
        <v>796</v>
      </c>
      <c r="C10" s="288">
        <v>200352</v>
      </c>
      <c r="D10" s="288">
        <v>72836</v>
      </c>
      <c r="E10" s="288">
        <v>106361</v>
      </c>
      <c r="F10" s="288">
        <v>24138</v>
      </c>
      <c r="G10" s="288">
        <v>43618</v>
      </c>
      <c r="H10" s="288">
        <v>309</v>
      </c>
      <c r="I10" s="288">
        <v>0</v>
      </c>
      <c r="J10" s="288">
        <v>447614</v>
      </c>
      <c r="K10" s="289"/>
      <c r="L10" s="290"/>
      <c r="M10" s="288"/>
      <c r="N10" s="288">
        <v>0</v>
      </c>
      <c r="O10" s="288">
        <v>0</v>
      </c>
      <c r="P10" s="289">
        <v>0</v>
      </c>
      <c r="Q10" s="290">
        <v>0</v>
      </c>
      <c r="R10" s="288">
        <v>0</v>
      </c>
      <c r="S10" s="291">
        <v>0</v>
      </c>
      <c r="T10" s="277">
        <v>0</v>
      </c>
      <c r="U10" s="277"/>
      <c r="V10" s="277"/>
      <c r="W10" s="277"/>
      <c r="X10" s="277"/>
      <c r="Y10" s="277"/>
      <c r="Z10" s="277"/>
    </row>
    <row r="11" spans="1:26" s="292" customFormat="1">
      <c r="A11" s="293"/>
      <c r="B11" s="294" t="s">
        <v>797</v>
      </c>
      <c r="C11" s="294">
        <v>205520</v>
      </c>
      <c r="D11" s="294">
        <v>81598</v>
      </c>
      <c r="E11" s="294">
        <v>103573</v>
      </c>
      <c r="F11" s="294">
        <v>23909</v>
      </c>
      <c r="G11" s="294">
        <v>51593</v>
      </c>
      <c r="H11" s="294">
        <v>1236</v>
      </c>
      <c r="I11" s="294">
        <v>0</v>
      </c>
      <c r="J11" s="294">
        <v>467429</v>
      </c>
      <c r="K11" s="295"/>
      <c r="L11" s="296"/>
      <c r="M11" s="294"/>
      <c r="N11" s="294">
        <v>0</v>
      </c>
      <c r="O11" s="294">
        <v>0</v>
      </c>
      <c r="P11" s="295">
        <v>0</v>
      </c>
      <c r="Q11" s="296">
        <v>0</v>
      </c>
      <c r="R11" s="294">
        <v>0</v>
      </c>
      <c r="S11" s="297">
        <v>0</v>
      </c>
      <c r="T11" s="277">
        <v>0</v>
      </c>
      <c r="U11" s="277"/>
      <c r="V11" s="277"/>
      <c r="W11" s="277"/>
      <c r="X11" s="277"/>
      <c r="Y11" s="277"/>
      <c r="Z11" s="277"/>
    </row>
    <row r="12" spans="1:26" s="292" customFormat="1">
      <c r="A12" s="293"/>
      <c r="B12" s="288" t="s">
        <v>798</v>
      </c>
      <c r="C12" s="288">
        <v>38910</v>
      </c>
      <c r="D12" s="288">
        <v>24408</v>
      </c>
      <c r="E12" s="288">
        <v>40329</v>
      </c>
      <c r="F12" s="288">
        <v>7661</v>
      </c>
      <c r="G12" s="288">
        <v>34899</v>
      </c>
      <c r="H12" s="288">
        <v>309</v>
      </c>
      <c r="I12" s="288">
        <v>0</v>
      </c>
      <c r="J12" s="288">
        <v>146516</v>
      </c>
      <c r="K12" s="289">
        <v>0</v>
      </c>
      <c r="L12" s="290">
        <v>0</v>
      </c>
      <c r="M12" s="288">
        <v>0</v>
      </c>
      <c r="N12" s="288">
        <v>0</v>
      </c>
      <c r="O12" s="288">
        <v>0</v>
      </c>
      <c r="P12" s="289">
        <v>0</v>
      </c>
      <c r="Q12" s="290">
        <v>0</v>
      </c>
      <c r="R12" s="288">
        <v>0</v>
      </c>
      <c r="S12" s="291">
        <v>0</v>
      </c>
      <c r="T12" s="277">
        <v>0</v>
      </c>
      <c r="U12" s="277">
        <v>0</v>
      </c>
      <c r="V12" s="277">
        <v>0</v>
      </c>
      <c r="W12" s="277"/>
      <c r="X12" s="277"/>
      <c r="Y12" s="277"/>
      <c r="Z12" s="277"/>
    </row>
    <row r="13" spans="1:26" s="292" customFormat="1">
      <c r="A13" s="298"/>
      <c r="B13" s="294" t="s">
        <v>799</v>
      </c>
      <c r="C13" s="294">
        <v>45122</v>
      </c>
      <c r="D13" s="294">
        <v>29688</v>
      </c>
      <c r="E13" s="294">
        <v>46326</v>
      </c>
      <c r="F13" s="294">
        <v>8444</v>
      </c>
      <c r="G13" s="294">
        <v>43959</v>
      </c>
      <c r="H13" s="294">
        <v>1218</v>
      </c>
      <c r="I13" s="294">
        <v>0</v>
      </c>
      <c r="J13" s="294">
        <v>174757</v>
      </c>
      <c r="K13" s="295">
        <v>0</v>
      </c>
      <c r="L13" s="296">
        <v>0</v>
      </c>
      <c r="M13" s="294">
        <v>0</v>
      </c>
      <c r="N13" s="294">
        <v>0</v>
      </c>
      <c r="O13" s="294">
        <v>0</v>
      </c>
      <c r="P13" s="295">
        <v>0</v>
      </c>
      <c r="Q13" s="296">
        <v>0</v>
      </c>
      <c r="R13" s="294">
        <v>0</v>
      </c>
      <c r="S13" s="297">
        <v>0</v>
      </c>
      <c r="T13" s="277">
        <v>0</v>
      </c>
      <c r="U13" s="277">
        <v>0</v>
      </c>
      <c r="V13" s="277">
        <v>0</v>
      </c>
      <c r="W13" s="277"/>
      <c r="X13" s="277"/>
      <c r="Y13" s="277"/>
      <c r="Z13" s="277"/>
    </row>
    <row r="14" spans="1:26" s="292" customFormat="1">
      <c r="A14" s="287" t="s">
        <v>105</v>
      </c>
      <c r="B14" s="288" t="s">
        <v>792</v>
      </c>
      <c r="C14" s="288">
        <v>638732</v>
      </c>
      <c r="D14" s="288">
        <v>206489</v>
      </c>
      <c r="E14" s="288">
        <v>762666</v>
      </c>
      <c r="F14" s="288">
        <v>142441</v>
      </c>
      <c r="G14" s="288">
        <v>67489</v>
      </c>
      <c r="H14" s="288">
        <v>231954</v>
      </c>
      <c r="I14" s="288">
        <v>18675</v>
      </c>
      <c r="J14" s="288">
        <v>2068446</v>
      </c>
      <c r="K14" s="290"/>
      <c r="L14" s="288"/>
      <c r="M14" s="288"/>
      <c r="N14" s="288">
        <v>291294</v>
      </c>
      <c r="O14" s="288">
        <v>86601</v>
      </c>
      <c r="P14" s="290">
        <v>615760</v>
      </c>
      <c r="Q14" s="288">
        <v>993655</v>
      </c>
      <c r="R14" s="299"/>
      <c r="S14" s="291"/>
      <c r="T14" s="277"/>
      <c r="U14" s="277"/>
      <c r="V14" s="277"/>
      <c r="W14" s="277"/>
      <c r="X14" s="277"/>
      <c r="Y14" s="277"/>
      <c r="Z14" s="277"/>
    </row>
    <row r="15" spans="1:26" s="292" customFormat="1">
      <c r="A15" s="293"/>
      <c r="B15" s="294" t="s">
        <v>793</v>
      </c>
      <c r="C15" s="294">
        <v>648938</v>
      </c>
      <c r="D15" s="294">
        <v>205875</v>
      </c>
      <c r="E15" s="294">
        <v>759904</v>
      </c>
      <c r="F15" s="294">
        <v>178641</v>
      </c>
      <c r="G15" s="294">
        <v>74004</v>
      </c>
      <c r="H15" s="294">
        <v>231885</v>
      </c>
      <c r="I15" s="294">
        <v>18081</v>
      </c>
      <c r="J15" s="294">
        <v>2117328</v>
      </c>
      <c r="K15" s="296"/>
      <c r="L15" s="294"/>
      <c r="M15" s="294"/>
      <c r="N15" s="294">
        <v>274440</v>
      </c>
      <c r="O15" s="294">
        <v>82537</v>
      </c>
      <c r="P15" s="296">
        <v>594102</v>
      </c>
      <c r="Q15" s="294">
        <v>951079</v>
      </c>
      <c r="R15" s="300"/>
      <c r="S15" s="297"/>
      <c r="T15" s="277"/>
      <c r="U15" s="277"/>
      <c r="V15" s="277"/>
      <c r="W15" s="277"/>
      <c r="X15" s="277"/>
      <c r="Y15" s="277"/>
      <c r="Z15" s="277"/>
    </row>
    <row r="16" spans="1:26" s="292" customFormat="1">
      <c r="A16" s="293"/>
      <c r="B16" s="288" t="s">
        <v>794</v>
      </c>
      <c r="C16" s="288">
        <v>52824</v>
      </c>
      <c r="D16" s="288">
        <v>68378</v>
      </c>
      <c r="E16" s="288">
        <v>161528</v>
      </c>
      <c r="F16" s="288">
        <v>31137</v>
      </c>
      <c r="G16" s="288">
        <v>17702</v>
      </c>
      <c r="H16" s="288">
        <v>44829</v>
      </c>
      <c r="I16" s="288">
        <v>2528</v>
      </c>
      <c r="J16" s="288">
        <v>378926</v>
      </c>
      <c r="K16" s="301">
        <v>0</v>
      </c>
      <c r="L16" s="288">
        <v>0</v>
      </c>
      <c r="M16" s="288">
        <v>0</v>
      </c>
      <c r="N16" s="288">
        <v>91584</v>
      </c>
      <c r="O16" s="288">
        <v>20045</v>
      </c>
      <c r="P16" s="301">
        <v>156150</v>
      </c>
      <c r="Q16" s="288">
        <v>267779</v>
      </c>
      <c r="R16" s="299">
        <v>0</v>
      </c>
      <c r="S16" s="291">
        <v>0</v>
      </c>
      <c r="T16" s="277">
        <v>0</v>
      </c>
      <c r="U16" s="277">
        <v>0</v>
      </c>
      <c r="V16" s="277">
        <v>0</v>
      </c>
      <c r="W16" s="277"/>
      <c r="X16" s="277"/>
      <c r="Y16" s="277"/>
      <c r="Z16" s="277"/>
    </row>
    <row r="17" spans="1:26" s="292" customFormat="1">
      <c r="A17" s="293"/>
      <c r="B17" s="294" t="s">
        <v>795</v>
      </c>
      <c r="C17" s="294">
        <v>56173</v>
      </c>
      <c r="D17" s="294">
        <v>72114</v>
      </c>
      <c r="E17" s="294">
        <v>164573</v>
      </c>
      <c r="F17" s="294">
        <v>32853</v>
      </c>
      <c r="G17" s="294">
        <v>17537</v>
      </c>
      <c r="H17" s="294">
        <v>51358</v>
      </c>
      <c r="I17" s="294">
        <v>5272</v>
      </c>
      <c r="J17" s="294">
        <v>399880</v>
      </c>
      <c r="K17" s="302">
        <v>0</v>
      </c>
      <c r="L17" s="294">
        <v>0</v>
      </c>
      <c r="M17" s="294">
        <v>0</v>
      </c>
      <c r="N17" s="294">
        <v>84086</v>
      </c>
      <c r="O17" s="294">
        <v>20793</v>
      </c>
      <c r="P17" s="302">
        <v>153951</v>
      </c>
      <c r="Q17" s="294">
        <v>258830</v>
      </c>
      <c r="R17" s="300">
        <v>0</v>
      </c>
      <c r="S17" s="297">
        <v>0</v>
      </c>
      <c r="T17" s="277">
        <v>0</v>
      </c>
      <c r="U17" s="277">
        <v>0</v>
      </c>
      <c r="V17" s="277">
        <v>0</v>
      </c>
      <c r="W17" s="277"/>
      <c r="X17" s="277"/>
      <c r="Y17" s="277"/>
      <c r="Z17" s="277"/>
    </row>
    <row r="18" spans="1:26" s="292" customFormat="1">
      <c r="A18" s="293"/>
      <c r="B18" s="288" t="s">
        <v>796</v>
      </c>
      <c r="C18" s="288">
        <v>81194</v>
      </c>
      <c r="D18" s="288">
        <v>42496</v>
      </c>
      <c r="E18" s="288">
        <v>145030</v>
      </c>
      <c r="F18" s="288">
        <v>35757</v>
      </c>
      <c r="G18" s="288">
        <v>4537</v>
      </c>
      <c r="H18" s="288">
        <v>1646</v>
      </c>
      <c r="I18" s="288">
        <v>66817</v>
      </c>
      <c r="J18" s="288">
        <v>377477</v>
      </c>
      <c r="K18" s="290"/>
      <c r="L18" s="288"/>
      <c r="M18" s="288"/>
      <c r="N18" s="288">
        <v>0</v>
      </c>
      <c r="O18" s="288">
        <v>0</v>
      </c>
      <c r="P18" s="290">
        <v>0</v>
      </c>
      <c r="Q18" s="288">
        <v>0</v>
      </c>
      <c r="R18" s="299"/>
      <c r="S18" s="291"/>
      <c r="T18" s="277"/>
      <c r="U18" s="277"/>
      <c r="V18" s="277"/>
      <c r="W18" s="277"/>
      <c r="X18" s="277"/>
      <c r="Y18" s="277"/>
      <c r="Z18" s="277"/>
    </row>
    <row r="19" spans="1:26" s="292" customFormat="1">
      <c r="A19" s="293"/>
      <c r="B19" s="294" t="s">
        <v>797</v>
      </c>
      <c r="C19" s="294">
        <v>79947</v>
      </c>
      <c r="D19" s="294">
        <v>42251</v>
      </c>
      <c r="E19" s="294">
        <v>148729</v>
      </c>
      <c r="F19" s="294">
        <v>30021</v>
      </c>
      <c r="G19" s="294">
        <v>5793</v>
      </c>
      <c r="H19" s="294">
        <v>1658</v>
      </c>
      <c r="I19" s="294">
        <v>0</v>
      </c>
      <c r="J19" s="294">
        <v>308399</v>
      </c>
      <c r="K19" s="296"/>
      <c r="L19" s="294"/>
      <c r="M19" s="294"/>
      <c r="N19" s="294">
        <v>0</v>
      </c>
      <c r="O19" s="294">
        <v>0</v>
      </c>
      <c r="P19" s="296">
        <v>0</v>
      </c>
      <c r="Q19" s="294">
        <v>0</v>
      </c>
      <c r="R19" s="300"/>
      <c r="S19" s="297"/>
      <c r="T19" s="277"/>
      <c r="U19" s="277"/>
      <c r="V19" s="277"/>
      <c r="W19" s="277"/>
      <c r="X19" s="277"/>
      <c r="Y19" s="277"/>
      <c r="Z19" s="277"/>
    </row>
    <row r="20" spans="1:26" s="292" customFormat="1">
      <c r="A20" s="293"/>
      <c r="B20" s="288" t="s">
        <v>798</v>
      </c>
      <c r="C20" s="288">
        <v>23669</v>
      </c>
      <c r="D20" s="288">
        <v>10157</v>
      </c>
      <c r="E20" s="288">
        <v>95571</v>
      </c>
      <c r="F20" s="288">
        <v>26143</v>
      </c>
      <c r="G20" s="288">
        <v>3774</v>
      </c>
      <c r="H20" s="288">
        <v>558</v>
      </c>
      <c r="I20" s="288">
        <v>5090</v>
      </c>
      <c r="J20" s="288">
        <v>164962</v>
      </c>
      <c r="K20" s="290">
        <v>0</v>
      </c>
      <c r="L20" s="288">
        <v>0</v>
      </c>
      <c r="M20" s="288">
        <v>0</v>
      </c>
      <c r="N20" s="288">
        <v>0</v>
      </c>
      <c r="O20" s="288">
        <v>0</v>
      </c>
      <c r="P20" s="290">
        <v>0</v>
      </c>
      <c r="Q20" s="288">
        <v>0</v>
      </c>
      <c r="R20" s="299">
        <v>0</v>
      </c>
      <c r="S20" s="291">
        <v>0</v>
      </c>
      <c r="T20" s="277">
        <v>0</v>
      </c>
      <c r="U20" s="277">
        <v>0</v>
      </c>
      <c r="V20" s="277">
        <v>0</v>
      </c>
      <c r="W20" s="277"/>
      <c r="X20" s="277"/>
      <c r="Y20" s="277"/>
      <c r="Z20" s="277"/>
    </row>
    <row r="21" spans="1:26" s="292" customFormat="1">
      <c r="A21" s="298"/>
      <c r="B21" s="294" t="s">
        <v>799</v>
      </c>
      <c r="C21" s="294">
        <v>24310</v>
      </c>
      <c r="D21" s="294">
        <v>12078</v>
      </c>
      <c r="E21" s="294">
        <v>101827</v>
      </c>
      <c r="F21" s="294">
        <v>21768</v>
      </c>
      <c r="G21" s="294">
        <v>4938</v>
      </c>
      <c r="H21" s="294">
        <v>486</v>
      </c>
      <c r="I21" s="294">
        <v>0</v>
      </c>
      <c r="J21" s="294">
        <v>165407</v>
      </c>
      <c r="K21" s="296">
        <v>0</v>
      </c>
      <c r="L21" s="294">
        <v>0</v>
      </c>
      <c r="M21" s="294">
        <v>0</v>
      </c>
      <c r="N21" s="294">
        <v>0</v>
      </c>
      <c r="O21" s="294">
        <v>0</v>
      </c>
      <c r="P21" s="296">
        <v>0</v>
      </c>
      <c r="Q21" s="294">
        <v>0</v>
      </c>
      <c r="R21" s="300">
        <v>0</v>
      </c>
      <c r="S21" s="297">
        <v>0</v>
      </c>
      <c r="T21" s="277">
        <v>0</v>
      </c>
      <c r="U21" s="277">
        <v>0</v>
      </c>
      <c r="V21" s="277">
        <v>0</v>
      </c>
      <c r="W21" s="277"/>
      <c r="X21" s="277"/>
      <c r="Y21" s="277"/>
      <c r="Z21" s="277"/>
    </row>
    <row r="22" spans="1:26" s="292" customFormat="1">
      <c r="A22" s="287" t="s">
        <v>143</v>
      </c>
      <c r="B22" s="288" t="s">
        <v>792</v>
      </c>
      <c r="C22" s="288">
        <v>577848</v>
      </c>
      <c r="D22" s="288"/>
      <c r="E22" s="288">
        <v>127789</v>
      </c>
      <c r="F22" s="288"/>
      <c r="G22" s="288"/>
      <c r="H22" s="288"/>
      <c r="I22" s="288"/>
      <c r="J22" s="288">
        <v>705637</v>
      </c>
      <c r="K22" s="290"/>
      <c r="L22" s="288"/>
      <c r="M22" s="288"/>
      <c r="N22" s="288"/>
      <c r="O22" s="288">
        <v>276057</v>
      </c>
      <c r="P22" s="290"/>
      <c r="Q22" s="288">
        <v>276057</v>
      </c>
      <c r="R22" s="299"/>
      <c r="S22" s="291"/>
      <c r="T22" s="277"/>
      <c r="U22" s="277"/>
      <c r="V22" s="277"/>
      <c r="W22" s="277"/>
      <c r="X22" s="277"/>
      <c r="Y22" s="277"/>
      <c r="Z22" s="277"/>
    </row>
    <row r="23" spans="1:26" s="292" customFormat="1">
      <c r="A23" s="293"/>
      <c r="B23" s="294" t="s">
        <v>793</v>
      </c>
      <c r="C23" s="294">
        <v>583850</v>
      </c>
      <c r="D23" s="294"/>
      <c r="E23" s="294">
        <v>122955</v>
      </c>
      <c r="F23" s="294"/>
      <c r="G23" s="294"/>
      <c r="H23" s="294"/>
      <c r="I23" s="294"/>
      <c r="J23" s="294">
        <v>706805</v>
      </c>
      <c r="K23" s="296"/>
      <c r="L23" s="294"/>
      <c r="M23" s="294"/>
      <c r="N23" s="294"/>
      <c r="O23" s="294">
        <v>268781</v>
      </c>
      <c r="P23" s="296"/>
      <c r="Q23" s="294">
        <v>268781</v>
      </c>
      <c r="R23" s="300"/>
      <c r="S23" s="297"/>
      <c r="T23" s="277"/>
      <c r="U23" s="277"/>
      <c r="V23" s="277"/>
      <c r="W23" s="277"/>
      <c r="X23" s="277"/>
      <c r="Y23" s="277"/>
      <c r="Z23" s="277"/>
    </row>
    <row r="24" spans="1:26" s="292" customFormat="1">
      <c r="A24" s="293"/>
      <c r="B24" s="288" t="s">
        <v>794</v>
      </c>
      <c r="C24" s="288">
        <v>19693</v>
      </c>
      <c r="D24" s="288">
        <v>0</v>
      </c>
      <c r="E24" s="288">
        <v>5162</v>
      </c>
      <c r="F24" s="288">
        <v>0</v>
      </c>
      <c r="G24" s="288">
        <v>0</v>
      </c>
      <c r="H24" s="288">
        <v>0</v>
      </c>
      <c r="I24" s="288">
        <v>0</v>
      </c>
      <c r="J24" s="288">
        <v>24855</v>
      </c>
      <c r="K24" s="290">
        <v>0</v>
      </c>
      <c r="L24" s="288">
        <v>0</v>
      </c>
      <c r="M24" s="288">
        <v>0</v>
      </c>
      <c r="N24" s="288">
        <v>0</v>
      </c>
      <c r="O24" s="288">
        <v>38494</v>
      </c>
      <c r="P24" s="290">
        <v>0</v>
      </c>
      <c r="Q24" s="288">
        <v>38494</v>
      </c>
      <c r="R24" s="299">
        <v>0</v>
      </c>
      <c r="S24" s="291">
        <v>0</v>
      </c>
      <c r="T24" s="277">
        <v>0</v>
      </c>
      <c r="U24" s="277">
        <v>0</v>
      </c>
      <c r="V24" s="277">
        <v>0</v>
      </c>
      <c r="W24" s="277"/>
      <c r="X24" s="277"/>
      <c r="Y24" s="277"/>
      <c r="Z24" s="277"/>
    </row>
    <row r="25" spans="1:26" s="292" customFormat="1">
      <c r="A25" s="293"/>
      <c r="B25" s="294" t="s">
        <v>795</v>
      </c>
      <c r="C25" s="294">
        <v>21024</v>
      </c>
      <c r="D25" s="294">
        <v>0</v>
      </c>
      <c r="E25" s="294">
        <v>6392</v>
      </c>
      <c r="F25" s="294">
        <v>0</v>
      </c>
      <c r="G25" s="294">
        <v>0</v>
      </c>
      <c r="H25" s="294">
        <v>0</v>
      </c>
      <c r="I25" s="294">
        <v>0</v>
      </c>
      <c r="J25" s="294">
        <v>27416</v>
      </c>
      <c r="K25" s="296">
        <v>0</v>
      </c>
      <c r="L25" s="294">
        <v>0</v>
      </c>
      <c r="M25" s="294">
        <v>0</v>
      </c>
      <c r="N25" s="294">
        <v>0</v>
      </c>
      <c r="O25" s="294">
        <v>44466</v>
      </c>
      <c r="P25" s="296">
        <v>0</v>
      </c>
      <c r="Q25" s="294">
        <v>44466</v>
      </c>
      <c r="R25" s="300">
        <v>0</v>
      </c>
      <c r="S25" s="297">
        <v>0</v>
      </c>
      <c r="T25" s="277">
        <v>0</v>
      </c>
      <c r="U25" s="277">
        <v>0</v>
      </c>
      <c r="V25" s="277">
        <v>0</v>
      </c>
      <c r="W25" s="277"/>
      <c r="X25" s="277"/>
      <c r="Y25" s="277"/>
      <c r="Z25" s="277"/>
    </row>
    <row r="26" spans="1:26" s="292" customFormat="1">
      <c r="A26" s="293"/>
      <c r="B26" s="288" t="s">
        <v>796</v>
      </c>
      <c r="C26" s="288">
        <v>57909</v>
      </c>
      <c r="D26" s="288"/>
      <c r="E26" s="288">
        <v>6146</v>
      </c>
      <c r="F26" s="288"/>
      <c r="G26" s="288"/>
      <c r="H26" s="288"/>
      <c r="I26" s="288"/>
      <c r="J26" s="288">
        <v>64055</v>
      </c>
      <c r="K26" s="290"/>
      <c r="L26" s="288"/>
      <c r="M26" s="288"/>
      <c r="N26" s="288"/>
      <c r="O26" s="288">
        <v>0</v>
      </c>
      <c r="P26" s="290"/>
      <c r="Q26" s="288">
        <v>0</v>
      </c>
      <c r="R26" s="299"/>
      <c r="S26" s="291"/>
      <c r="T26" s="277"/>
      <c r="U26" s="277"/>
      <c r="V26" s="277"/>
      <c r="W26" s="277"/>
      <c r="X26" s="277"/>
      <c r="Y26" s="277"/>
      <c r="Z26" s="277"/>
    </row>
    <row r="27" spans="1:26" s="292" customFormat="1">
      <c r="A27" s="293"/>
      <c r="B27" s="294" t="s">
        <v>797</v>
      </c>
      <c r="C27" s="294">
        <v>64419</v>
      </c>
      <c r="D27" s="294"/>
      <c r="E27" s="294">
        <v>5453</v>
      </c>
      <c r="F27" s="294"/>
      <c r="G27" s="294"/>
      <c r="H27" s="294"/>
      <c r="I27" s="294"/>
      <c r="J27" s="294">
        <v>69872</v>
      </c>
      <c r="K27" s="296"/>
      <c r="L27" s="294"/>
      <c r="M27" s="294"/>
      <c r="N27" s="294"/>
      <c r="O27" s="294">
        <v>0</v>
      </c>
      <c r="P27" s="296"/>
      <c r="Q27" s="294">
        <v>0</v>
      </c>
      <c r="R27" s="300"/>
      <c r="S27" s="297"/>
      <c r="T27" s="277"/>
      <c r="U27" s="277"/>
      <c r="V27" s="277"/>
      <c r="W27" s="277"/>
      <c r="X27" s="277"/>
      <c r="Y27" s="277"/>
      <c r="Z27" s="277"/>
    </row>
    <row r="28" spans="1:26" s="292" customFormat="1">
      <c r="A28" s="293"/>
      <c r="B28" s="288" t="s">
        <v>798</v>
      </c>
      <c r="C28" s="288">
        <v>5652</v>
      </c>
      <c r="D28" s="288">
        <v>0</v>
      </c>
      <c r="E28" s="288">
        <v>330</v>
      </c>
      <c r="F28" s="288">
        <v>0</v>
      </c>
      <c r="G28" s="288">
        <v>0</v>
      </c>
      <c r="H28" s="288">
        <v>0</v>
      </c>
      <c r="I28" s="288">
        <v>0</v>
      </c>
      <c r="J28" s="288">
        <v>5982</v>
      </c>
      <c r="K28" s="290">
        <v>0</v>
      </c>
      <c r="L28" s="288">
        <v>0</v>
      </c>
      <c r="M28" s="288">
        <v>0</v>
      </c>
      <c r="N28" s="288">
        <v>0</v>
      </c>
      <c r="O28" s="288">
        <v>0</v>
      </c>
      <c r="P28" s="290">
        <v>0</v>
      </c>
      <c r="Q28" s="288">
        <v>0</v>
      </c>
      <c r="R28" s="299">
        <v>0</v>
      </c>
      <c r="S28" s="291">
        <v>0</v>
      </c>
      <c r="T28" s="277">
        <v>0</v>
      </c>
      <c r="U28" s="277">
        <v>0</v>
      </c>
      <c r="V28" s="277">
        <v>0</v>
      </c>
      <c r="W28" s="277"/>
      <c r="X28" s="277"/>
      <c r="Y28" s="277"/>
      <c r="Z28" s="277"/>
    </row>
    <row r="29" spans="1:26" s="292" customFormat="1">
      <c r="A29" s="298"/>
      <c r="B29" s="294" t="s">
        <v>799</v>
      </c>
      <c r="C29" s="294">
        <v>7643</v>
      </c>
      <c r="D29" s="294">
        <v>0</v>
      </c>
      <c r="E29" s="294">
        <v>570</v>
      </c>
      <c r="F29" s="294">
        <v>0</v>
      </c>
      <c r="G29" s="294">
        <v>0</v>
      </c>
      <c r="H29" s="294">
        <v>0</v>
      </c>
      <c r="I29" s="294">
        <v>0</v>
      </c>
      <c r="J29" s="294">
        <v>8213</v>
      </c>
      <c r="K29" s="296">
        <v>0</v>
      </c>
      <c r="L29" s="294">
        <v>0</v>
      </c>
      <c r="M29" s="294">
        <v>0</v>
      </c>
      <c r="N29" s="294">
        <v>0</v>
      </c>
      <c r="O29" s="294">
        <v>0</v>
      </c>
      <c r="P29" s="296">
        <v>0</v>
      </c>
      <c r="Q29" s="294">
        <v>0</v>
      </c>
      <c r="R29" s="300">
        <v>0</v>
      </c>
      <c r="S29" s="297">
        <v>0</v>
      </c>
      <c r="T29" s="277">
        <v>0</v>
      </c>
      <c r="U29" s="277">
        <v>0</v>
      </c>
      <c r="V29" s="277">
        <v>0</v>
      </c>
      <c r="W29" s="277"/>
      <c r="X29" s="277"/>
      <c r="Y29" s="277"/>
      <c r="Z29" s="277"/>
    </row>
    <row r="30" spans="1:26" s="292" customFormat="1">
      <c r="A30" s="287" t="s">
        <v>148</v>
      </c>
      <c r="B30" s="288" t="s">
        <v>792</v>
      </c>
      <c r="C30" s="288"/>
      <c r="D30" s="288"/>
      <c r="E30" s="288"/>
      <c r="F30" s="288"/>
      <c r="G30" s="288"/>
      <c r="H30" s="288"/>
      <c r="I30" s="288"/>
      <c r="J30" s="288"/>
      <c r="K30" s="290"/>
      <c r="L30" s="288"/>
      <c r="M30" s="288">
        <v>8086766</v>
      </c>
      <c r="N30" s="288">
        <v>1044758</v>
      </c>
      <c r="O30" s="288"/>
      <c r="P30" s="290">
        <v>41666</v>
      </c>
      <c r="Q30" s="288">
        <v>9173190</v>
      </c>
      <c r="R30" s="299"/>
      <c r="S30" s="291"/>
      <c r="T30" s="277"/>
      <c r="U30" s="277"/>
      <c r="V30" s="277"/>
      <c r="W30" s="277"/>
      <c r="X30" s="277"/>
      <c r="Y30" s="277"/>
      <c r="Z30" s="277"/>
    </row>
    <row r="31" spans="1:26" s="292" customFormat="1">
      <c r="A31" s="293"/>
      <c r="B31" s="294" t="s">
        <v>793</v>
      </c>
      <c r="C31" s="294"/>
      <c r="D31" s="294"/>
      <c r="E31" s="294"/>
      <c r="F31" s="294"/>
      <c r="G31" s="294"/>
      <c r="H31" s="294"/>
      <c r="I31" s="294"/>
      <c r="J31" s="294"/>
      <c r="K31" s="296"/>
      <c r="L31" s="294"/>
      <c r="M31" s="294">
        <v>7994419</v>
      </c>
      <c r="N31" s="294">
        <v>1042808</v>
      </c>
      <c r="O31" s="294"/>
      <c r="P31" s="296">
        <v>42300</v>
      </c>
      <c r="Q31" s="294">
        <v>9079527</v>
      </c>
      <c r="R31" s="300"/>
      <c r="S31" s="297"/>
      <c r="T31" s="277"/>
      <c r="U31" s="277"/>
      <c r="V31" s="277"/>
      <c r="W31" s="277"/>
      <c r="X31" s="277"/>
      <c r="Y31" s="277"/>
      <c r="Z31" s="277"/>
    </row>
    <row r="32" spans="1:26" s="292" customFormat="1">
      <c r="A32" s="293"/>
      <c r="B32" s="288" t="s">
        <v>794</v>
      </c>
      <c r="C32" s="288">
        <v>0</v>
      </c>
      <c r="D32" s="288">
        <v>0</v>
      </c>
      <c r="E32" s="288">
        <v>0</v>
      </c>
      <c r="F32" s="288">
        <v>0</v>
      </c>
      <c r="G32" s="288">
        <v>0</v>
      </c>
      <c r="H32" s="288">
        <v>0</v>
      </c>
      <c r="I32" s="288">
        <v>0</v>
      </c>
      <c r="J32" s="288">
        <v>0</v>
      </c>
      <c r="K32" s="290">
        <v>0</v>
      </c>
      <c r="L32" s="288">
        <v>0</v>
      </c>
      <c r="M32" s="288">
        <v>1994843</v>
      </c>
      <c r="N32" s="288">
        <v>258521</v>
      </c>
      <c r="O32" s="288">
        <v>0</v>
      </c>
      <c r="P32" s="290">
        <v>10797</v>
      </c>
      <c r="Q32" s="288">
        <v>2264161</v>
      </c>
      <c r="R32" s="299">
        <v>0</v>
      </c>
      <c r="S32" s="291">
        <v>0</v>
      </c>
      <c r="T32" s="277">
        <v>0</v>
      </c>
      <c r="U32" s="277">
        <v>0</v>
      </c>
      <c r="V32" s="277">
        <v>0</v>
      </c>
      <c r="W32" s="277"/>
      <c r="X32" s="277"/>
      <c r="Y32" s="277"/>
      <c r="Z32" s="277"/>
    </row>
    <row r="33" spans="1:26" s="292" customFormat="1">
      <c r="A33" s="293"/>
      <c r="B33" s="294" t="s">
        <v>795</v>
      </c>
      <c r="C33" s="294">
        <v>0</v>
      </c>
      <c r="D33" s="294">
        <v>0</v>
      </c>
      <c r="E33" s="294">
        <v>0</v>
      </c>
      <c r="F33" s="294">
        <v>0</v>
      </c>
      <c r="G33" s="294">
        <v>0</v>
      </c>
      <c r="H33" s="294">
        <v>0</v>
      </c>
      <c r="I33" s="294">
        <v>0</v>
      </c>
      <c r="J33" s="294">
        <v>0</v>
      </c>
      <c r="K33" s="296">
        <v>0</v>
      </c>
      <c r="L33" s="294">
        <v>0</v>
      </c>
      <c r="M33" s="294">
        <v>2098712</v>
      </c>
      <c r="N33" s="294">
        <v>277509</v>
      </c>
      <c r="O33" s="294">
        <v>0</v>
      </c>
      <c r="P33" s="296">
        <v>12269</v>
      </c>
      <c r="Q33" s="294">
        <v>2388490</v>
      </c>
      <c r="R33" s="300">
        <v>0</v>
      </c>
      <c r="S33" s="297">
        <v>0</v>
      </c>
      <c r="T33" s="277">
        <v>0</v>
      </c>
      <c r="U33" s="277">
        <v>0</v>
      </c>
      <c r="V33" s="277">
        <v>0</v>
      </c>
      <c r="W33" s="277"/>
      <c r="X33" s="277"/>
      <c r="Y33" s="277"/>
      <c r="Z33" s="277"/>
    </row>
    <row r="34" spans="1:26" s="292" customFormat="1">
      <c r="A34" s="293"/>
      <c r="B34" s="288" t="s">
        <v>796</v>
      </c>
      <c r="C34" s="288"/>
      <c r="D34" s="288"/>
      <c r="E34" s="288"/>
      <c r="F34" s="288"/>
      <c r="G34" s="288"/>
      <c r="H34" s="288"/>
      <c r="I34" s="288"/>
      <c r="J34" s="288"/>
      <c r="K34" s="290"/>
      <c r="L34" s="288"/>
      <c r="M34" s="288">
        <v>0</v>
      </c>
      <c r="N34" s="288">
        <v>0</v>
      </c>
      <c r="O34" s="288"/>
      <c r="P34" s="290">
        <v>0</v>
      </c>
      <c r="Q34" s="288">
        <v>0</v>
      </c>
      <c r="R34" s="299"/>
      <c r="S34" s="291"/>
      <c r="T34" s="277"/>
      <c r="U34" s="277"/>
      <c r="V34" s="277"/>
      <c r="W34" s="277"/>
      <c r="X34" s="277"/>
      <c r="Y34" s="277"/>
      <c r="Z34" s="277"/>
    </row>
    <row r="35" spans="1:26" s="292" customFormat="1">
      <c r="A35" s="293"/>
      <c r="B35" s="294" t="s">
        <v>797</v>
      </c>
      <c r="C35" s="294"/>
      <c r="D35" s="294"/>
      <c r="E35" s="294"/>
      <c r="F35" s="294"/>
      <c r="G35" s="294"/>
      <c r="H35" s="294"/>
      <c r="I35" s="294"/>
      <c r="J35" s="294"/>
      <c r="K35" s="296"/>
      <c r="L35" s="294"/>
      <c r="M35" s="294">
        <v>0</v>
      </c>
      <c r="N35" s="294">
        <v>0</v>
      </c>
      <c r="O35" s="294"/>
      <c r="P35" s="296">
        <v>0</v>
      </c>
      <c r="Q35" s="294">
        <v>0</v>
      </c>
      <c r="R35" s="300"/>
      <c r="S35" s="297"/>
      <c r="T35" s="277"/>
      <c r="U35" s="277"/>
      <c r="V35" s="277"/>
      <c r="W35" s="277"/>
      <c r="X35" s="277"/>
      <c r="Y35" s="277"/>
      <c r="Z35" s="277"/>
    </row>
    <row r="36" spans="1:26" s="292" customFormat="1">
      <c r="A36" s="293"/>
      <c r="B36" s="288" t="s">
        <v>798</v>
      </c>
      <c r="C36" s="288">
        <v>0</v>
      </c>
      <c r="D36" s="288">
        <v>0</v>
      </c>
      <c r="E36" s="288">
        <v>0</v>
      </c>
      <c r="F36" s="288">
        <v>0</v>
      </c>
      <c r="G36" s="288">
        <v>0</v>
      </c>
      <c r="H36" s="288">
        <v>0</v>
      </c>
      <c r="I36" s="288">
        <v>0</v>
      </c>
      <c r="J36" s="288">
        <v>0</v>
      </c>
      <c r="K36" s="290">
        <v>0</v>
      </c>
      <c r="L36" s="288">
        <v>0</v>
      </c>
      <c r="M36" s="288">
        <v>0</v>
      </c>
      <c r="N36" s="288">
        <v>0</v>
      </c>
      <c r="O36" s="288">
        <v>0</v>
      </c>
      <c r="P36" s="290">
        <v>0</v>
      </c>
      <c r="Q36" s="288">
        <v>0</v>
      </c>
      <c r="R36" s="299">
        <v>0</v>
      </c>
      <c r="S36" s="291">
        <v>0</v>
      </c>
      <c r="T36" s="277">
        <v>0</v>
      </c>
      <c r="U36" s="277">
        <v>0</v>
      </c>
      <c r="V36" s="277">
        <v>0</v>
      </c>
      <c r="W36" s="277"/>
      <c r="X36" s="277"/>
      <c r="Y36" s="277"/>
      <c r="Z36" s="277"/>
    </row>
    <row r="37" spans="1:26" s="292" customFormat="1">
      <c r="A37" s="298"/>
      <c r="B37" s="294" t="s">
        <v>799</v>
      </c>
      <c r="C37" s="294">
        <v>0</v>
      </c>
      <c r="D37" s="294">
        <v>0</v>
      </c>
      <c r="E37" s="294">
        <v>0</v>
      </c>
      <c r="F37" s="294">
        <v>0</v>
      </c>
      <c r="G37" s="294">
        <v>0</v>
      </c>
      <c r="H37" s="294">
        <v>0</v>
      </c>
      <c r="I37" s="294">
        <v>0</v>
      </c>
      <c r="J37" s="294">
        <v>0</v>
      </c>
      <c r="K37" s="296">
        <v>0</v>
      </c>
      <c r="L37" s="294">
        <v>0</v>
      </c>
      <c r="M37" s="294">
        <v>0</v>
      </c>
      <c r="N37" s="294">
        <v>0</v>
      </c>
      <c r="O37" s="294">
        <v>0</v>
      </c>
      <c r="P37" s="296">
        <v>0</v>
      </c>
      <c r="Q37" s="294">
        <v>0</v>
      </c>
      <c r="R37" s="300">
        <v>0</v>
      </c>
      <c r="S37" s="297">
        <v>0</v>
      </c>
      <c r="T37" s="277">
        <v>0</v>
      </c>
      <c r="U37" s="277">
        <v>0</v>
      </c>
      <c r="V37" s="277">
        <v>0</v>
      </c>
      <c r="W37" s="277"/>
      <c r="X37" s="277"/>
      <c r="Y37" s="277"/>
      <c r="Z37" s="277"/>
    </row>
    <row r="38" spans="1:26" s="292" customFormat="1">
      <c r="A38" s="287" t="s">
        <v>179</v>
      </c>
      <c r="B38" s="288" t="s">
        <v>792</v>
      </c>
      <c r="C38" s="288">
        <v>1896248.9</v>
      </c>
      <c r="D38" s="288">
        <v>437645</v>
      </c>
      <c r="E38" s="288">
        <v>1886866</v>
      </c>
      <c r="F38" s="288">
        <v>1449910</v>
      </c>
      <c r="G38" s="288">
        <v>130266</v>
      </c>
      <c r="H38" s="288">
        <v>676500</v>
      </c>
      <c r="I38" s="288"/>
      <c r="J38" s="288">
        <v>6477435.9000000004</v>
      </c>
      <c r="K38" s="290"/>
      <c r="L38" s="288"/>
      <c r="M38" s="288">
        <v>610805</v>
      </c>
      <c r="N38" s="288">
        <v>0</v>
      </c>
      <c r="O38" s="288"/>
      <c r="P38" s="290">
        <v>51395</v>
      </c>
      <c r="Q38" s="288">
        <v>662200</v>
      </c>
      <c r="R38" s="299">
        <v>1951485.3</v>
      </c>
      <c r="S38" s="291"/>
      <c r="T38" s="277">
        <v>1951485.3</v>
      </c>
      <c r="U38" s="277"/>
      <c r="V38" s="277"/>
      <c r="W38" s="277"/>
      <c r="X38" s="277"/>
      <c r="Y38" s="277"/>
      <c r="Z38" s="277"/>
    </row>
    <row r="39" spans="1:26" s="292" customFormat="1">
      <c r="A39" s="293"/>
      <c r="B39" s="294" t="s">
        <v>793</v>
      </c>
      <c r="C39" s="294">
        <v>1904194</v>
      </c>
      <c r="D39" s="294">
        <v>438044</v>
      </c>
      <c r="E39" s="294">
        <v>1913039</v>
      </c>
      <c r="F39" s="294">
        <v>1539456</v>
      </c>
      <c r="G39" s="294">
        <v>123043</v>
      </c>
      <c r="H39" s="294">
        <v>676909</v>
      </c>
      <c r="I39" s="294"/>
      <c r="J39" s="294">
        <v>6594685</v>
      </c>
      <c r="K39" s="296"/>
      <c r="L39" s="294"/>
      <c r="M39" s="294">
        <v>498002</v>
      </c>
      <c r="N39" s="294">
        <v>0</v>
      </c>
      <c r="O39" s="294"/>
      <c r="P39" s="296">
        <v>41554</v>
      </c>
      <c r="Q39" s="294">
        <v>539556</v>
      </c>
      <c r="R39" s="300">
        <v>1949689.1</v>
      </c>
      <c r="S39" s="297"/>
      <c r="T39" s="277">
        <v>1949689.1</v>
      </c>
      <c r="U39" s="277"/>
      <c r="V39" s="277"/>
      <c r="W39" s="277"/>
      <c r="X39" s="277"/>
      <c r="Y39" s="277"/>
      <c r="Z39" s="277"/>
    </row>
    <row r="40" spans="1:26" s="292" customFormat="1">
      <c r="A40" s="293"/>
      <c r="B40" s="288" t="s">
        <v>794</v>
      </c>
      <c r="C40" s="288">
        <v>213264</v>
      </c>
      <c r="D40" s="288">
        <v>5573</v>
      </c>
      <c r="E40" s="288">
        <v>385288</v>
      </c>
      <c r="F40" s="288">
        <v>214593</v>
      </c>
      <c r="G40" s="288">
        <v>10599</v>
      </c>
      <c r="H40" s="288">
        <v>80742</v>
      </c>
      <c r="I40" s="288">
        <v>0</v>
      </c>
      <c r="J40" s="288">
        <v>910059</v>
      </c>
      <c r="K40" s="290">
        <v>0</v>
      </c>
      <c r="L40" s="288">
        <v>0</v>
      </c>
      <c r="M40" s="288">
        <v>134111</v>
      </c>
      <c r="N40" s="288">
        <v>0</v>
      </c>
      <c r="O40" s="288">
        <v>0</v>
      </c>
      <c r="P40" s="290">
        <v>15765</v>
      </c>
      <c r="Q40" s="288">
        <v>149876</v>
      </c>
      <c r="R40" s="299">
        <v>629798</v>
      </c>
      <c r="S40" s="291">
        <v>0</v>
      </c>
      <c r="T40" s="277">
        <v>629798</v>
      </c>
      <c r="U40" s="277">
        <v>0</v>
      </c>
      <c r="V40" s="277">
        <v>0</v>
      </c>
      <c r="W40" s="277"/>
      <c r="X40" s="277"/>
      <c r="Y40" s="277"/>
      <c r="Z40" s="277"/>
    </row>
    <row r="41" spans="1:26" s="292" customFormat="1">
      <c r="A41" s="293"/>
      <c r="B41" s="294" t="s">
        <v>795</v>
      </c>
      <c r="C41" s="294">
        <v>237625</v>
      </c>
      <c r="D41" s="294">
        <v>6531</v>
      </c>
      <c r="E41" s="294">
        <v>434564</v>
      </c>
      <c r="F41" s="294">
        <v>270937</v>
      </c>
      <c r="G41" s="294">
        <v>11308</v>
      </c>
      <c r="H41" s="294">
        <v>93622</v>
      </c>
      <c r="I41" s="294">
        <v>0</v>
      </c>
      <c r="J41" s="294">
        <v>1054587</v>
      </c>
      <c r="K41" s="296">
        <v>0</v>
      </c>
      <c r="L41" s="294">
        <v>0</v>
      </c>
      <c r="M41" s="294">
        <v>96025</v>
      </c>
      <c r="N41" s="294">
        <v>0</v>
      </c>
      <c r="O41" s="294">
        <v>0</v>
      </c>
      <c r="P41" s="296">
        <v>14927</v>
      </c>
      <c r="Q41" s="294">
        <v>110952</v>
      </c>
      <c r="R41" s="300">
        <v>661322</v>
      </c>
      <c r="S41" s="297">
        <v>0</v>
      </c>
      <c r="T41" s="277">
        <v>661322</v>
      </c>
      <c r="U41" s="277">
        <v>0</v>
      </c>
      <c r="V41" s="277">
        <v>0</v>
      </c>
      <c r="W41" s="277"/>
      <c r="X41" s="277"/>
      <c r="Y41" s="277"/>
      <c r="Z41" s="277"/>
    </row>
    <row r="42" spans="1:26" s="292" customFormat="1">
      <c r="A42" s="293"/>
      <c r="B42" s="288" t="s">
        <v>796</v>
      </c>
      <c r="C42" s="288">
        <v>487666.8</v>
      </c>
      <c r="D42" s="288">
        <v>278585.5</v>
      </c>
      <c r="E42" s="288">
        <v>179225</v>
      </c>
      <c r="F42" s="288">
        <v>291436</v>
      </c>
      <c r="G42" s="288">
        <v>3819</v>
      </c>
      <c r="H42" s="288">
        <v>1203</v>
      </c>
      <c r="I42" s="288"/>
      <c r="J42" s="288">
        <v>1241935.3</v>
      </c>
      <c r="K42" s="290"/>
      <c r="L42" s="288"/>
      <c r="M42" s="288">
        <v>0</v>
      </c>
      <c r="N42" s="288">
        <v>0</v>
      </c>
      <c r="O42" s="288"/>
      <c r="P42" s="290">
        <v>0</v>
      </c>
      <c r="Q42" s="288">
        <v>0</v>
      </c>
      <c r="R42" s="299">
        <v>0</v>
      </c>
      <c r="S42" s="291"/>
      <c r="T42" s="277">
        <v>0</v>
      </c>
      <c r="U42" s="277"/>
      <c r="V42" s="277"/>
      <c r="W42" s="277"/>
      <c r="X42" s="277"/>
      <c r="Y42" s="277"/>
      <c r="Z42" s="277"/>
    </row>
    <row r="43" spans="1:26" s="292" customFormat="1">
      <c r="A43" s="293"/>
      <c r="B43" s="294" t="s">
        <v>797</v>
      </c>
      <c r="C43" s="294">
        <v>487666.8</v>
      </c>
      <c r="D43" s="294">
        <v>278585.5</v>
      </c>
      <c r="E43" s="294">
        <v>179225</v>
      </c>
      <c r="F43" s="294">
        <v>291436</v>
      </c>
      <c r="G43" s="294">
        <v>3819</v>
      </c>
      <c r="H43" s="294">
        <v>1203</v>
      </c>
      <c r="I43" s="294"/>
      <c r="J43" s="294">
        <v>1241935.3</v>
      </c>
      <c r="K43" s="296"/>
      <c r="L43" s="294"/>
      <c r="M43" s="294"/>
      <c r="N43" s="294"/>
      <c r="O43" s="294"/>
      <c r="P43" s="296"/>
      <c r="Q43" s="294"/>
      <c r="R43" s="300">
        <v>0</v>
      </c>
      <c r="S43" s="297"/>
      <c r="T43" s="277">
        <v>0</v>
      </c>
      <c r="U43" s="277"/>
      <c r="V43" s="277"/>
      <c r="W43" s="277"/>
      <c r="X43" s="277"/>
      <c r="Y43" s="277"/>
      <c r="Z43" s="277"/>
    </row>
    <row r="44" spans="1:26" s="292" customFormat="1">
      <c r="A44" s="293"/>
      <c r="B44" s="288" t="s">
        <v>798</v>
      </c>
      <c r="C44" s="288">
        <v>21584.5</v>
      </c>
      <c r="D44" s="288">
        <v>30840</v>
      </c>
      <c r="E44" s="288">
        <v>113965</v>
      </c>
      <c r="F44" s="288">
        <v>54409</v>
      </c>
      <c r="G44" s="288">
        <v>453</v>
      </c>
      <c r="H44" s="288">
        <v>1203</v>
      </c>
      <c r="I44" s="288">
        <v>0</v>
      </c>
      <c r="J44" s="288">
        <v>222454.5</v>
      </c>
      <c r="K44" s="290">
        <v>0</v>
      </c>
      <c r="L44" s="288">
        <v>0</v>
      </c>
      <c r="M44" s="288">
        <v>0</v>
      </c>
      <c r="N44" s="288">
        <v>0</v>
      </c>
      <c r="O44" s="288">
        <v>0</v>
      </c>
      <c r="P44" s="290">
        <v>0</v>
      </c>
      <c r="Q44" s="288">
        <v>0</v>
      </c>
      <c r="R44" s="299">
        <v>0</v>
      </c>
      <c r="S44" s="291">
        <v>0</v>
      </c>
      <c r="T44" s="277">
        <v>0</v>
      </c>
      <c r="U44" s="277">
        <v>0</v>
      </c>
      <c r="V44" s="277">
        <v>0</v>
      </c>
      <c r="W44" s="277"/>
      <c r="X44" s="277"/>
      <c r="Y44" s="277"/>
      <c r="Z44" s="277"/>
    </row>
    <row r="45" spans="1:26" s="292" customFormat="1">
      <c r="A45" s="298"/>
      <c r="B45" s="294" t="s">
        <v>799</v>
      </c>
      <c r="C45" s="294">
        <v>25701</v>
      </c>
      <c r="D45" s="294">
        <v>56925</v>
      </c>
      <c r="E45" s="294">
        <v>121482</v>
      </c>
      <c r="F45" s="294">
        <v>62374</v>
      </c>
      <c r="G45" s="294">
        <v>900</v>
      </c>
      <c r="H45" s="294">
        <v>1763</v>
      </c>
      <c r="I45" s="294">
        <v>0</v>
      </c>
      <c r="J45" s="294">
        <v>269145</v>
      </c>
      <c r="K45" s="296">
        <v>0</v>
      </c>
      <c r="L45" s="294">
        <v>0</v>
      </c>
      <c r="M45" s="294">
        <v>0</v>
      </c>
      <c r="N45" s="294">
        <v>0</v>
      </c>
      <c r="O45" s="294">
        <v>0</v>
      </c>
      <c r="P45" s="296">
        <v>0</v>
      </c>
      <c r="Q45" s="294">
        <v>0</v>
      </c>
      <c r="R45" s="300">
        <v>0</v>
      </c>
      <c r="S45" s="297">
        <v>0</v>
      </c>
      <c r="T45" s="277">
        <v>0</v>
      </c>
      <c r="U45" s="277">
        <v>0</v>
      </c>
      <c r="V45" s="277">
        <v>0</v>
      </c>
      <c r="W45" s="277"/>
      <c r="X45" s="277"/>
      <c r="Y45" s="277"/>
      <c r="Z45" s="277"/>
    </row>
    <row r="46" spans="1:26" s="292" customFormat="1">
      <c r="A46" s="287" t="s">
        <v>264</v>
      </c>
      <c r="B46" s="288" t="s">
        <v>792</v>
      </c>
      <c r="C46" s="288">
        <v>1096757</v>
      </c>
      <c r="D46" s="288"/>
      <c r="E46" s="288">
        <v>1632885</v>
      </c>
      <c r="F46" s="288">
        <v>40746</v>
      </c>
      <c r="G46" s="288"/>
      <c r="H46" s="288"/>
      <c r="I46" s="288"/>
      <c r="J46" s="288">
        <v>2770388</v>
      </c>
      <c r="K46" s="290"/>
      <c r="L46" s="288"/>
      <c r="M46" s="288"/>
      <c r="N46" s="288">
        <v>389870</v>
      </c>
      <c r="O46" s="288">
        <v>595329</v>
      </c>
      <c r="P46" s="290">
        <v>245744</v>
      </c>
      <c r="Q46" s="288">
        <v>1230943</v>
      </c>
      <c r="R46" s="299">
        <v>146166</v>
      </c>
      <c r="S46" s="291"/>
      <c r="T46" s="277">
        <v>146166</v>
      </c>
      <c r="U46" s="277"/>
      <c r="V46" s="277"/>
      <c r="W46" s="277"/>
      <c r="X46" s="277"/>
      <c r="Y46" s="277"/>
      <c r="Z46" s="277"/>
    </row>
    <row r="47" spans="1:26" s="292" customFormat="1">
      <c r="A47" s="293"/>
      <c r="B47" s="294" t="s">
        <v>793</v>
      </c>
      <c r="C47" s="294">
        <v>1078259</v>
      </c>
      <c r="D47" s="294"/>
      <c r="E47" s="294">
        <v>1596370</v>
      </c>
      <c r="F47" s="294">
        <v>44162</v>
      </c>
      <c r="G47" s="294"/>
      <c r="H47" s="294"/>
      <c r="I47" s="294"/>
      <c r="J47" s="294">
        <v>2718791</v>
      </c>
      <c r="K47" s="296"/>
      <c r="L47" s="294"/>
      <c r="M47" s="294"/>
      <c r="N47" s="294">
        <v>384253</v>
      </c>
      <c r="O47" s="294">
        <v>577970</v>
      </c>
      <c r="P47" s="296">
        <v>255905</v>
      </c>
      <c r="Q47" s="294">
        <v>1218128</v>
      </c>
      <c r="R47" s="300">
        <v>148193</v>
      </c>
      <c r="S47" s="297"/>
      <c r="T47" s="277">
        <v>148193</v>
      </c>
      <c r="U47" s="277"/>
      <c r="V47" s="277"/>
      <c r="W47" s="277"/>
      <c r="X47" s="277"/>
      <c r="Y47" s="277"/>
      <c r="Z47" s="277"/>
    </row>
    <row r="48" spans="1:26" s="292" customFormat="1">
      <c r="A48" s="293"/>
      <c r="B48" s="288" t="s">
        <v>794</v>
      </c>
      <c r="C48" s="288">
        <v>89711</v>
      </c>
      <c r="D48" s="288">
        <v>0</v>
      </c>
      <c r="E48" s="288">
        <v>310640</v>
      </c>
      <c r="F48" s="288">
        <v>9905</v>
      </c>
      <c r="G48" s="288">
        <v>0</v>
      </c>
      <c r="H48" s="288">
        <v>0</v>
      </c>
      <c r="I48" s="288">
        <v>0</v>
      </c>
      <c r="J48" s="288">
        <v>410256</v>
      </c>
      <c r="K48" s="290">
        <v>0</v>
      </c>
      <c r="L48" s="288">
        <v>0</v>
      </c>
      <c r="M48" s="288">
        <v>0</v>
      </c>
      <c r="N48" s="288">
        <v>123317</v>
      </c>
      <c r="O48" s="288">
        <v>262723</v>
      </c>
      <c r="P48" s="290">
        <v>109762</v>
      </c>
      <c r="Q48" s="288">
        <v>495802</v>
      </c>
      <c r="R48" s="299">
        <v>46949</v>
      </c>
      <c r="S48" s="291">
        <v>0</v>
      </c>
      <c r="T48" s="277">
        <v>46949</v>
      </c>
      <c r="U48" s="277">
        <v>0</v>
      </c>
      <c r="V48" s="277">
        <v>0</v>
      </c>
      <c r="W48" s="277"/>
      <c r="X48" s="277"/>
      <c r="Y48" s="277"/>
      <c r="Z48" s="277"/>
    </row>
    <row r="49" spans="1:26" s="292" customFormat="1">
      <c r="A49" s="293"/>
      <c r="B49" s="294" t="s">
        <v>795</v>
      </c>
      <c r="C49" s="294">
        <v>101048</v>
      </c>
      <c r="D49" s="294">
        <v>0</v>
      </c>
      <c r="E49" s="294">
        <v>313122</v>
      </c>
      <c r="F49" s="294">
        <v>13526</v>
      </c>
      <c r="G49" s="294">
        <v>0</v>
      </c>
      <c r="H49" s="294">
        <v>0</v>
      </c>
      <c r="I49" s="294">
        <v>0</v>
      </c>
      <c r="J49" s="294">
        <v>427696</v>
      </c>
      <c r="K49" s="296">
        <v>0</v>
      </c>
      <c r="L49" s="294">
        <v>0</v>
      </c>
      <c r="M49" s="294">
        <v>0</v>
      </c>
      <c r="N49" s="294">
        <v>128691</v>
      </c>
      <c r="O49" s="294">
        <v>258524</v>
      </c>
      <c r="P49" s="296">
        <v>108312</v>
      </c>
      <c r="Q49" s="294">
        <v>495527</v>
      </c>
      <c r="R49" s="300">
        <v>46886</v>
      </c>
      <c r="S49" s="297">
        <v>0</v>
      </c>
      <c r="T49" s="277">
        <v>46886</v>
      </c>
      <c r="U49" s="277">
        <v>0</v>
      </c>
      <c r="V49" s="277">
        <v>0</v>
      </c>
      <c r="W49" s="277"/>
      <c r="X49" s="277"/>
      <c r="Y49" s="277"/>
      <c r="Z49" s="277"/>
    </row>
    <row r="50" spans="1:26" s="292" customFormat="1">
      <c r="A50" s="293"/>
      <c r="B50" s="288" t="s">
        <v>796</v>
      </c>
      <c r="C50" s="288">
        <v>158495</v>
      </c>
      <c r="D50" s="288"/>
      <c r="E50" s="288">
        <v>165131</v>
      </c>
      <c r="F50" s="288">
        <v>2304</v>
      </c>
      <c r="G50" s="288"/>
      <c r="H50" s="288"/>
      <c r="I50" s="288"/>
      <c r="J50" s="288">
        <v>325930</v>
      </c>
      <c r="K50" s="290"/>
      <c r="L50" s="288"/>
      <c r="M50" s="288"/>
      <c r="N50" s="288">
        <v>0</v>
      </c>
      <c r="O50" s="288">
        <v>0</v>
      </c>
      <c r="P50" s="290">
        <v>0</v>
      </c>
      <c r="Q50" s="288">
        <v>0</v>
      </c>
      <c r="R50" s="299">
        <v>0</v>
      </c>
      <c r="S50" s="291"/>
      <c r="T50" s="277">
        <v>0</v>
      </c>
      <c r="U50" s="277"/>
      <c r="V50" s="277"/>
      <c r="W50" s="277"/>
      <c r="X50" s="277"/>
      <c r="Y50" s="277"/>
      <c r="Z50" s="277"/>
    </row>
    <row r="51" spans="1:26" s="292" customFormat="1">
      <c r="A51" s="293"/>
      <c r="B51" s="294" t="s">
        <v>797</v>
      </c>
      <c r="C51" s="294">
        <v>161220</v>
      </c>
      <c r="D51" s="294"/>
      <c r="E51" s="294">
        <v>155801</v>
      </c>
      <c r="F51" s="294">
        <v>2422</v>
      </c>
      <c r="G51" s="294"/>
      <c r="H51" s="294"/>
      <c r="I51" s="294"/>
      <c r="J51" s="294">
        <v>319443</v>
      </c>
      <c r="K51" s="296"/>
      <c r="L51" s="294"/>
      <c r="M51" s="294"/>
      <c r="N51" s="294">
        <v>0</v>
      </c>
      <c r="O51" s="294">
        <v>0</v>
      </c>
      <c r="P51" s="296">
        <v>0</v>
      </c>
      <c r="Q51" s="294">
        <v>0</v>
      </c>
      <c r="R51" s="300">
        <v>0</v>
      </c>
      <c r="S51" s="297"/>
      <c r="T51" s="277">
        <v>0</v>
      </c>
      <c r="U51" s="277"/>
      <c r="V51" s="277"/>
      <c r="W51" s="277"/>
      <c r="X51" s="277"/>
      <c r="Y51" s="277"/>
      <c r="Z51" s="277"/>
    </row>
    <row r="52" spans="1:26" s="292" customFormat="1">
      <c r="A52" s="293"/>
      <c r="B52" s="288" t="s">
        <v>798</v>
      </c>
      <c r="C52" s="288">
        <v>28561</v>
      </c>
      <c r="D52" s="288">
        <v>0</v>
      </c>
      <c r="E52" s="288">
        <v>82833</v>
      </c>
      <c r="F52" s="288">
        <v>431</v>
      </c>
      <c r="G52" s="288">
        <v>0</v>
      </c>
      <c r="H52" s="288">
        <v>0</v>
      </c>
      <c r="I52" s="288">
        <v>0</v>
      </c>
      <c r="J52" s="288">
        <v>111825</v>
      </c>
      <c r="K52" s="290">
        <v>0</v>
      </c>
      <c r="L52" s="288">
        <v>0</v>
      </c>
      <c r="M52" s="288">
        <v>0</v>
      </c>
      <c r="N52" s="288">
        <v>0</v>
      </c>
      <c r="O52" s="288">
        <v>0</v>
      </c>
      <c r="P52" s="290">
        <v>0</v>
      </c>
      <c r="Q52" s="288">
        <v>0</v>
      </c>
      <c r="R52" s="299">
        <v>0</v>
      </c>
      <c r="S52" s="291">
        <v>0</v>
      </c>
      <c r="T52" s="277">
        <v>0</v>
      </c>
      <c r="U52" s="277">
        <v>0</v>
      </c>
      <c r="V52" s="277">
        <v>0</v>
      </c>
      <c r="W52" s="277"/>
      <c r="X52" s="277"/>
      <c r="Y52" s="277"/>
      <c r="Z52" s="277"/>
    </row>
    <row r="53" spans="1:26" s="292" customFormat="1">
      <c r="A53" s="298"/>
      <c r="B53" s="294" t="s">
        <v>799</v>
      </c>
      <c r="C53" s="294">
        <v>34381</v>
      </c>
      <c r="D53" s="294">
        <v>0</v>
      </c>
      <c r="E53" s="294">
        <v>79746</v>
      </c>
      <c r="F53" s="294">
        <v>463</v>
      </c>
      <c r="G53" s="294">
        <v>0</v>
      </c>
      <c r="H53" s="294">
        <v>0</v>
      </c>
      <c r="I53" s="294">
        <v>0</v>
      </c>
      <c r="J53" s="294">
        <v>114590</v>
      </c>
      <c r="K53" s="296">
        <v>0</v>
      </c>
      <c r="L53" s="294">
        <v>0</v>
      </c>
      <c r="M53" s="294">
        <v>0</v>
      </c>
      <c r="N53" s="294">
        <v>0</v>
      </c>
      <c r="O53" s="294">
        <v>0</v>
      </c>
      <c r="P53" s="296">
        <v>0</v>
      </c>
      <c r="Q53" s="294">
        <v>0</v>
      </c>
      <c r="R53" s="300">
        <v>0</v>
      </c>
      <c r="S53" s="297">
        <v>0</v>
      </c>
      <c r="T53" s="277">
        <v>0</v>
      </c>
      <c r="U53" s="277">
        <v>0</v>
      </c>
      <c r="V53" s="277">
        <v>0</v>
      </c>
      <c r="W53" s="277"/>
      <c r="X53" s="277"/>
      <c r="Y53" s="277"/>
      <c r="Z53" s="277"/>
    </row>
    <row r="54" spans="1:26" s="292" customFormat="1">
      <c r="A54" s="287" t="s">
        <v>291</v>
      </c>
      <c r="B54" s="288" t="s">
        <v>792</v>
      </c>
      <c r="C54" s="288">
        <v>729887.99999999953</v>
      </c>
      <c r="D54" s="288">
        <v>851847</v>
      </c>
      <c r="E54" s="288">
        <v>836752.9999999993</v>
      </c>
      <c r="F54" s="288">
        <v>538174.00000000012</v>
      </c>
      <c r="G54" s="288">
        <v>47287.999999999971</v>
      </c>
      <c r="H54" s="288">
        <v>69103</v>
      </c>
      <c r="I54" s="288">
        <v>0</v>
      </c>
      <c r="J54" s="288">
        <v>3073052.9999999991</v>
      </c>
      <c r="K54" s="290"/>
      <c r="L54" s="288"/>
      <c r="M54" s="288"/>
      <c r="N54" s="288">
        <v>588855.00000000058</v>
      </c>
      <c r="O54" s="288">
        <v>270265.00000000017</v>
      </c>
      <c r="P54" s="290">
        <v>135767.50000000003</v>
      </c>
      <c r="Q54" s="288">
        <v>994887.5000000007</v>
      </c>
      <c r="R54" s="299">
        <v>298628.00000000012</v>
      </c>
      <c r="S54" s="291"/>
      <c r="T54" s="277">
        <v>298628.00000000012</v>
      </c>
      <c r="U54" s="277"/>
      <c r="V54" s="277"/>
      <c r="W54" s="277"/>
      <c r="X54" s="277"/>
      <c r="Y54" s="277"/>
      <c r="Z54" s="277"/>
    </row>
    <row r="55" spans="1:26" s="292" customFormat="1">
      <c r="A55" s="293"/>
      <c r="B55" s="294" t="s">
        <v>793</v>
      </c>
      <c r="C55" s="294">
        <v>707259.00000000023</v>
      </c>
      <c r="D55" s="294">
        <v>846337.99999999965</v>
      </c>
      <c r="E55" s="294">
        <v>844545.00000000047</v>
      </c>
      <c r="F55" s="294">
        <v>553184.00000000012</v>
      </c>
      <c r="G55" s="294">
        <v>49569.999999999964</v>
      </c>
      <c r="H55" s="294">
        <v>72677</v>
      </c>
      <c r="I55" s="294">
        <v>0</v>
      </c>
      <c r="J55" s="294">
        <v>3073573.0000000005</v>
      </c>
      <c r="K55" s="296"/>
      <c r="L55" s="294"/>
      <c r="M55" s="294"/>
      <c r="N55" s="294">
        <v>576043</v>
      </c>
      <c r="O55" s="294">
        <v>276698.50000000029</v>
      </c>
      <c r="P55" s="296">
        <v>147766</v>
      </c>
      <c r="Q55" s="294">
        <v>1000507.5000000002</v>
      </c>
      <c r="R55" s="300">
        <v>279893.49999999994</v>
      </c>
      <c r="S55" s="297"/>
      <c r="T55" s="277">
        <v>279893.49999999994</v>
      </c>
      <c r="U55" s="277"/>
      <c r="V55" s="277"/>
      <c r="W55" s="277"/>
      <c r="X55" s="277"/>
      <c r="Y55" s="277"/>
      <c r="Z55" s="277"/>
    </row>
    <row r="56" spans="1:26" s="292" customFormat="1">
      <c r="A56" s="293"/>
      <c r="B56" s="288" t="s">
        <v>794</v>
      </c>
      <c r="C56" s="288">
        <v>16877.863874345599</v>
      </c>
      <c r="D56" s="288">
        <v>85659.963274439899</v>
      </c>
      <c r="E56" s="288">
        <v>116388.08231047043</v>
      </c>
      <c r="F56" s="288">
        <v>126911.34853410861</v>
      </c>
      <c r="G56" s="288">
        <v>5830.0273972602699</v>
      </c>
      <c r="H56" s="288">
        <v>17611.978683966601</v>
      </c>
      <c r="I56" s="288">
        <v>0</v>
      </c>
      <c r="J56" s="288">
        <v>369279.2640745914</v>
      </c>
      <c r="K56" s="290">
        <v>0</v>
      </c>
      <c r="L56" s="288">
        <v>0</v>
      </c>
      <c r="M56" s="288">
        <v>0</v>
      </c>
      <c r="N56" s="288">
        <v>91733.718044091191</v>
      </c>
      <c r="O56" s="288">
        <v>30980.231464807581</v>
      </c>
      <c r="P56" s="290">
        <v>32832.03846434172</v>
      </c>
      <c r="Q56" s="288">
        <v>155545.98797324052</v>
      </c>
      <c r="R56" s="299">
        <v>29965.39611393011</v>
      </c>
      <c r="S56" s="291">
        <v>0</v>
      </c>
      <c r="T56" s="277">
        <v>29965.39611393011</v>
      </c>
      <c r="U56" s="277">
        <v>0</v>
      </c>
      <c r="V56" s="277">
        <v>0</v>
      </c>
      <c r="W56" s="277"/>
      <c r="X56" s="277"/>
      <c r="Y56" s="277"/>
      <c r="Z56" s="277"/>
    </row>
    <row r="57" spans="1:26" s="292" customFormat="1">
      <c r="A57" s="293"/>
      <c r="B57" s="294" t="s">
        <v>795</v>
      </c>
      <c r="C57" s="294">
        <v>21853.508426966298</v>
      </c>
      <c r="D57" s="294">
        <v>103449.4122275316</v>
      </c>
      <c r="E57" s="294">
        <v>165856.6278418914</v>
      </c>
      <c r="F57" s="294">
        <v>158680.03870814751</v>
      </c>
      <c r="G57" s="294">
        <v>6093.4829268292697</v>
      </c>
      <c r="H57" s="294">
        <v>25814.8704</v>
      </c>
      <c r="I57" s="294">
        <v>0</v>
      </c>
      <c r="J57" s="294">
        <v>481747.94053136604</v>
      </c>
      <c r="K57" s="296">
        <v>0</v>
      </c>
      <c r="L57" s="294">
        <v>0</v>
      </c>
      <c r="M57" s="294">
        <v>0</v>
      </c>
      <c r="N57" s="294">
        <v>114513.19370365649</v>
      </c>
      <c r="O57" s="294">
        <v>44059.415483160294</v>
      </c>
      <c r="P57" s="296">
        <v>42564.355222197599</v>
      </c>
      <c r="Q57" s="294">
        <v>201136.96440901438</v>
      </c>
      <c r="R57" s="300">
        <v>41844.970488464045</v>
      </c>
      <c r="S57" s="297">
        <v>0</v>
      </c>
      <c r="T57" s="277">
        <v>41844.970488464045</v>
      </c>
      <c r="U57" s="277">
        <v>0</v>
      </c>
      <c r="V57" s="277">
        <v>0</v>
      </c>
      <c r="W57" s="277"/>
      <c r="X57" s="277"/>
      <c r="Y57" s="277"/>
      <c r="Z57" s="277"/>
    </row>
    <row r="58" spans="1:26" s="292" customFormat="1">
      <c r="A58" s="293"/>
      <c r="B58" s="288" t="s">
        <v>796</v>
      </c>
      <c r="C58" s="288">
        <v>129253.00000000031</v>
      </c>
      <c r="D58" s="288">
        <v>75262.000000000015</v>
      </c>
      <c r="E58" s="288">
        <v>94605.000000000015</v>
      </c>
      <c r="F58" s="288">
        <v>80264</v>
      </c>
      <c r="G58" s="288">
        <v>9974</v>
      </c>
      <c r="H58" s="288">
        <v>0</v>
      </c>
      <c r="I58" s="288">
        <v>0</v>
      </c>
      <c r="J58" s="288">
        <v>389358.00000000035</v>
      </c>
      <c r="K58" s="290"/>
      <c r="L58" s="288"/>
      <c r="M58" s="288"/>
      <c r="N58" s="288">
        <v>0</v>
      </c>
      <c r="O58" s="288">
        <v>0</v>
      </c>
      <c r="P58" s="290">
        <v>0</v>
      </c>
      <c r="Q58" s="288">
        <v>0</v>
      </c>
      <c r="R58" s="299">
        <v>0</v>
      </c>
      <c r="S58" s="291"/>
      <c r="T58" s="277">
        <v>0</v>
      </c>
      <c r="U58" s="277"/>
      <c r="V58" s="277"/>
      <c r="W58" s="277"/>
      <c r="X58" s="277"/>
      <c r="Y58" s="277"/>
      <c r="Z58" s="277"/>
    </row>
    <row r="59" spans="1:26" s="292" customFormat="1">
      <c r="A59" s="293"/>
      <c r="B59" s="294" t="s">
        <v>797</v>
      </c>
      <c r="C59" s="294">
        <v>133260.99999999953</v>
      </c>
      <c r="D59" s="294">
        <v>74535.999999999927</v>
      </c>
      <c r="E59" s="294">
        <v>78509.000000000058</v>
      </c>
      <c r="F59" s="294">
        <v>92798.000000000058</v>
      </c>
      <c r="G59" s="294">
        <v>9558</v>
      </c>
      <c r="H59" s="294">
        <v>0</v>
      </c>
      <c r="I59" s="294">
        <v>0</v>
      </c>
      <c r="J59" s="294">
        <v>388661.99999999959</v>
      </c>
      <c r="K59" s="296"/>
      <c r="L59" s="294"/>
      <c r="M59" s="294"/>
      <c r="N59" s="294">
        <v>0</v>
      </c>
      <c r="O59" s="294">
        <v>0</v>
      </c>
      <c r="P59" s="296">
        <v>0</v>
      </c>
      <c r="Q59" s="294">
        <v>0</v>
      </c>
      <c r="R59" s="300">
        <v>0</v>
      </c>
      <c r="S59" s="297"/>
      <c r="T59" s="277">
        <v>0</v>
      </c>
      <c r="U59" s="277"/>
      <c r="V59" s="277"/>
      <c r="W59" s="277"/>
      <c r="X59" s="277"/>
      <c r="Y59" s="277"/>
      <c r="Z59" s="277"/>
    </row>
    <row r="60" spans="1:26" s="292" customFormat="1">
      <c r="A60" s="293"/>
      <c r="B60" s="288" t="s">
        <v>798</v>
      </c>
      <c r="C60" s="288">
        <v>5569.1396780303003</v>
      </c>
      <c r="D60" s="288">
        <v>11235.47600866102</v>
      </c>
      <c r="E60" s="288">
        <v>27301.537926074998</v>
      </c>
      <c r="F60" s="288">
        <v>43309.512753531497</v>
      </c>
      <c r="G60" s="288">
        <v>1757.07772020725</v>
      </c>
      <c r="H60" s="288">
        <v>0</v>
      </c>
      <c r="I60" s="288">
        <v>0</v>
      </c>
      <c r="J60" s="288">
        <v>89172.744086505074</v>
      </c>
      <c r="K60" s="290">
        <v>0</v>
      </c>
      <c r="L60" s="288">
        <v>0</v>
      </c>
      <c r="M60" s="288">
        <v>0</v>
      </c>
      <c r="N60" s="288">
        <v>0</v>
      </c>
      <c r="O60" s="288">
        <v>0</v>
      </c>
      <c r="P60" s="290">
        <v>0</v>
      </c>
      <c r="Q60" s="288">
        <v>0</v>
      </c>
      <c r="R60" s="299">
        <v>0</v>
      </c>
      <c r="S60" s="291">
        <v>0</v>
      </c>
      <c r="T60" s="277">
        <v>0</v>
      </c>
      <c r="U60" s="277">
        <v>0</v>
      </c>
      <c r="V60" s="277">
        <v>0</v>
      </c>
      <c r="W60" s="277"/>
      <c r="X60" s="277"/>
      <c r="Y60" s="277"/>
      <c r="Z60" s="277"/>
    </row>
    <row r="61" spans="1:26" s="292" customFormat="1">
      <c r="A61" s="298"/>
      <c r="B61" s="294" t="s">
        <v>799</v>
      </c>
      <c r="C61" s="294">
        <v>5784.9334241775396</v>
      </c>
      <c r="D61" s="294">
        <v>12530.648206970331</v>
      </c>
      <c r="E61" s="294">
        <v>30440.624580015541</v>
      </c>
      <c r="F61" s="294">
        <v>51785.834989833449</v>
      </c>
      <c r="G61" s="294">
        <v>1327.5</v>
      </c>
      <c r="H61" s="294">
        <v>0</v>
      </c>
      <c r="I61" s="294">
        <v>0</v>
      </c>
      <c r="J61" s="294">
        <v>101869.54120099686</v>
      </c>
      <c r="K61" s="296">
        <v>0</v>
      </c>
      <c r="L61" s="294">
        <v>0</v>
      </c>
      <c r="M61" s="294">
        <v>0</v>
      </c>
      <c r="N61" s="294">
        <v>0</v>
      </c>
      <c r="O61" s="294">
        <v>0</v>
      </c>
      <c r="P61" s="296">
        <v>0</v>
      </c>
      <c r="Q61" s="294">
        <v>0</v>
      </c>
      <c r="R61" s="300">
        <v>0</v>
      </c>
      <c r="S61" s="297">
        <v>0</v>
      </c>
      <c r="T61" s="277">
        <v>0</v>
      </c>
      <c r="U61" s="277">
        <v>0</v>
      </c>
      <c r="V61" s="277">
        <v>0</v>
      </c>
      <c r="W61" s="277"/>
      <c r="X61" s="277"/>
      <c r="Y61" s="277"/>
      <c r="Z61" s="277"/>
    </row>
    <row r="62" spans="1:26" s="292" customFormat="1">
      <c r="A62" s="287" t="s">
        <v>326</v>
      </c>
      <c r="B62" s="288" t="s">
        <v>792</v>
      </c>
      <c r="C62" s="288">
        <v>830277</v>
      </c>
      <c r="D62" s="288">
        <v>502166</v>
      </c>
      <c r="E62" s="288">
        <v>615500</v>
      </c>
      <c r="F62" s="288">
        <v>590602</v>
      </c>
      <c r="G62" s="288">
        <v>66610</v>
      </c>
      <c r="H62" s="288">
        <v>51243</v>
      </c>
      <c r="I62" s="288">
        <v>797203</v>
      </c>
      <c r="J62" s="288">
        <v>3453601</v>
      </c>
      <c r="K62" s="290"/>
      <c r="L62" s="288"/>
      <c r="M62" s="288"/>
      <c r="N62" s="288">
        <v>1945635</v>
      </c>
      <c r="O62" s="288">
        <v>511593</v>
      </c>
      <c r="P62" s="290">
        <v>157578</v>
      </c>
      <c r="Q62" s="288">
        <v>2614806</v>
      </c>
      <c r="R62" s="299"/>
      <c r="S62" s="291"/>
      <c r="T62" s="277"/>
      <c r="U62" s="277"/>
      <c r="V62" s="277"/>
      <c r="W62" s="277"/>
      <c r="X62" s="277"/>
      <c r="Y62" s="277"/>
      <c r="Z62" s="277"/>
    </row>
    <row r="63" spans="1:26" s="292" customFormat="1">
      <c r="A63" s="293"/>
      <c r="B63" s="294" t="s">
        <v>793</v>
      </c>
      <c r="C63" s="294">
        <v>853125</v>
      </c>
      <c r="D63" s="294">
        <v>501329</v>
      </c>
      <c r="E63" s="294">
        <v>611968</v>
      </c>
      <c r="F63" s="294">
        <v>586463</v>
      </c>
      <c r="G63" s="294">
        <v>63125</v>
      </c>
      <c r="H63" s="294">
        <v>48855</v>
      </c>
      <c r="I63" s="294">
        <v>816016</v>
      </c>
      <c r="J63" s="294">
        <v>3480881</v>
      </c>
      <c r="K63" s="296"/>
      <c r="L63" s="294"/>
      <c r="M63" s="294"/>
      <c r="N63" s="294">
        <v>2000184</v>
      </c>
      <c r="O63" s="294">
        <v>496675.5</v>
      </c>
      <c r="P63" s="296">
        <v>149955.5</v>
      </c>
      <c r="Q63" s="294">
        <v>2646815</v>
      </c>
      <c r="R63" s="300"/>
      <c r="S63" s="297"/>
      <c r="T63" s="277"/>
      <c r="U63" s="277"/>
      <c r="V63" s="277"/>
      <c r="W63" s="277"/>
      <c r="X63" s="277"/>
      <c r="Y63" s="277"/>
      <c r="Z63" s="277"/>
    </row>
    <row r="64" spans="1:26" s="292" customFormat="1">
      <c r="A64" s="293"/>
      <c r="B64" s="288" t="s">
        <v>794</v>
      </c>
      <c r="C64" s="288">
        <v>32586</v>
      </c>
      <c r="D64" s="288">
        <v>54562</v>
      </c>
      <c r="E64" s="288">
        <v>76242</v>
      </c>
      <c r="F64" s="288">
        <v>86145</v>
      </c>
      <c r="G64" s="288">
        <v>13916</v>
      </c>
      <c r="H64" s="288">
        <v>0</v>
      </c>
      <c r="I64" s="288">
        <v>728568</v>
      </c>
      <c r="J64" s="288">
        <v>992019</v>
      </c>
      <c r="K64" s="290">
        <v>0</v>
      </c>
      <c r="L64" s="288">
        <v>0</v>
      </c>
      <c r="M64" s="288">
        <v>0</v>
      </c>
      <c r="N64" s="288">
        <v>322790</v>
      </c>
      <c r="O64" s="288">
        <v>125654</v>
      </c>
      <c r="P64" s="290">
        <v>32348</v>
      </c>
      <c r="Q64" s="288">
        <v>480792</v>
      </c>
      <c r="R64" s="299">
        <v>0</v>
      </c>
      <c r="S64" s="291">
        <v>0</v>
      </c>
      <c r="T64" s="277">
        <v>0</v>
      </c>
      <c r="U64" s="277">
        <v>0</v>
      </c>
      <c r="V64" s="277">
        <v>0</v>
      </c>
      <c r="W64" s="277"/>
      <c r="X64" s="277"/>
      <c r="Y64" s="277"/>
      <c r="Z64" s="277"/>
    </row>
    <row r="65" spans="1:26" s="292" customFormat="1">
      <c r="A65" s="293"/>
      <c r="B65" s="294" t="s">
        <v>795</v>
      </c>
      <c r="C65" s="294">
        <v>35948</v>
      </c>
      <c r="D65" s="294">
        <v>56415</v>
      </c>
      <c r="E65" s="294">
        <v>81711</v>
      </c>
      <c r="F65" s="294">
        <v>87850</v>
      </c>
      <c r="G65" s="294">
        <v>13013</v>
      </c>
      <c r="H65" s="294">
        <v>0</v>
      </c>
      <c r="I65" s="294">
        <v>752590.5</v>
      </c>
      <c r="J65" s="294">
        <v>1027527.5</v>
      </c>
      <c r="K65" s="296">
        <v>0</v>
      </c>
      <c r="L65" s="294">
        <v>0</v>
      </c>
      <c r="M65" s="294">
        <v>0</v>
      </c>
      <c r="N65" s="294">
        <v>337891</v>
      </c>
      <c r="O65" s="294">
        <v>131005</v>
      </c>
      <c r="P65" s="296">
        <v>34364</v>
      </c>
      <c r="Q65" s="294">
        <v>503260</v>
      </c>
      <c r="R65" s="300">
        <v>0</v>
      </c>
      <c r="S65" s="297">
        <v>0</v>
      </c>
      <c r="T65" s="277">
        <v>0</v>
      </c>
      <c r="U65" s="277">
        <v>0</v>
      </c>
      <c r="V65" s="277">
        <v>0</v>
      </c>
      <c r="W65" s="277"/>
      <c r="X65" s="277"/>
      <c r="Y65" s="277"/>
      <c r="Z65" s="277"/>
    </row>
    <row r="66" spans="1:26" s="292" customFormat="1">
      <c r="A66" s="293"/>
      <c r="B66" s="288" t="s">
        <v>796</v>
      </c>
      <c r="C66" s="288">
        <v>157557</v>
      </c>
      <c r="D66" s="288">
        <v>58831</v>
      </c>
      <c r="E66" s="288">
        <v>92396</v>
      </c>
      <c r="F66" s="288">
        <v>59868</v>
      </c>
      <c r="G66" s="288">
        <v>5570</v>
      </c>
      <c r="H66" s="288">
        <v>1356</v>
      </c>
      <c r="I66" s="288">
        <v>233210</v>
      </c>
      <c r="J66" s="288">
        <v>608788</v>
      </c>
      <c r="K66" s="290"/>
      <c r="L66" s="288"/>
      <c r="M66" s="288"/>
      <c r="N66" s="288">
        <v>0</v>
      </c>
      <c r="O66" s="288">
        <v>0</v>
      </c>
      <c r="P66" s="290">
        <v>0</v>
      </c>
      <c r="Q66" s="288">
        <v>0</v>
      </c>
      <c r="R66" s="299"/>
      <c r="S66" s="291"/>
      <c r="T66" s="277"/>
      <c r="U66" s="277"/>
      <c r="V66" s="277"/>
      <c r="W66" s="277"/>
      <c r="X66" s="277"/>
      <c r="Y66" s="277"/>
      <c r="Z66" s="277"/>
    </row>
    <row r="67" spans="1:26" s="292" customFormat="1">
      <c r="A67" s="293"/>
      <c r="B67" s="294" t="s">
        <v>797</v>
      </c>
      <c r="C67" s="294">
        <v>158715.5</v>
      </c>
      <c r="D67" s="294">
        <v>57603</v>
      </c>
      <c r="E67" s="294">
        <v>88559</v>
      </c>
      <c r="F67" s="294">
        <v>60330</v>
      </c>
      <c r="G67" s="294">
        <v>5008</v>
      </c>
      <c r="H67" s="294">
        <v>1409</v>
      </c>
      <c r="I67" s="294">
        <v>255175</v>
      </c>
      <c r="J67" s="294">
        <v>626799.5</v>
      </c>
      <c r="K67" s="296"/>
      <c r="L67" s="294"/>
      <c r="M67" s="294"/>
      <c r="N67" s="294">
        <v>0</v>
      </c>
      <c r="O67" s="294">
        <v>0</v>
      </c>
      <c r="P67" s="296">
        <v>0</v>
      </c>
      <c r="Q67" s="294">
        <v>0</v>
      </c>
      <c r="R67" s="300"/>
      <c r="S67" s="297"/>
      <c r="T67" s="277"/>
      <c r="U67" s="277"/>
      <c r="V67" s="277"/>
      <c r="W67" s="277"/>
      <c r="X67" s="277"/>
      <c r="Y67" s="277"/>
      <c r="Z67" s="277"/>
    </row>
    <row r="68" spans="1:26" s="292" customFormat="1">
      <c r="A68" s="293"/>
      <c r="B68" s="288" t="s">
        <v>798</v>
      </c>
      <c r="C68" s="288">
        <v>11885</v>
      </c>
      <c r="D68" s="288">
        <v>12354</v>
      </c>
      <c r="E68" s="288">
        <v>19839</v>
      </c>
      <c r="F68" s="288">
        <v>21473</v>
      </c>
      <c r="G68" s="288">
        <v>798</v>
      </c>
      <c r="H68" s="288">
        <v>0</v>
      </c>
      <c r="I68" s="288">
        <v>202293</v>
      </c>
      <c r="J68" s="288">
        <v>268642</v>
      </c>
      <c r="K68" s="290">
        <v>0</v>
      </c>
      <c r="L68" s="288">
        <v>0</v>
      </c>
      <c r="M68" s="288">
        <v>0</v>
      </c>
      <c r="N68" s="288">
        <v>0</v>
      </c>
      <c r="O68" s="288">
        <v>0</v>
      </c>
      <c r="P68" s="290">
        <v>0</v>
      </c>
      <c r="Q68" s="288">
        <v>0</v>
      </c>
      <c r="R68" s="299">
        <v>0</v>
      </c>
      <c r="S68" s="291">
        <v>0</v>
      </c>
      <c r="T68" s="277">
        <v>0</v>
      </c>
      <c r="U68" s="277">
        <v>0</v>
      </c>
      <c r="V68" s="277">
        <v>0</v>
      </c>
      <c r="W68" s="277"/>
      <c r="X68" s="277"/>
      <c r="Y68" s="277"/>
      <c r="Z68" s="277"/>
    </row>
    <row r="69" spans="1:26" s="292" customFormat="1">
      <c r="A69" s="298"/>
      <c r="B69" s="294" t="s">
        <v>799</v>
      </c>
      <c r="C69" s="294">
        <v>15852</v>
      </c>
      <c r="D69" s="294">
        <v>12780</v>
      </c>
      <c r="E69" s="294">
        <v>20633</v>
      </c>
      <c r="F69" s="294">
        <v>20734</v>
      </c>
      <c r="G69" s="294">
        <v>641</v>
      </c>
      <c r="H69" s="294">
        <v>0</v>
      </c>
      <c r="I69" s="294">
        <v>220645</v>
      </c>
      <c r="J69" s="294">
        <v>291285</v>
      </c>
      <c r="K69" s="296">
        <v>0</v>
      </c>
      <c r="L69" s="294">
        <v>0</v>
      </c>
      <c r="M69" s="294">
        <v>0</v>
      </c>
      <c r="N69" s="294">
        <v>0</v>
      </c>
      <c r="O69" s="294">
        <v>0</v>
      </c>
      <c r="P69" s="296">
        <v>0</v>
      </c>
      <c r="Q69" s="294">
        <v>0</v>
      </c>
      <c r="R69" s="300">
        <v>0</v>
      </c>
      <c r="S69" s="297">
        <v>0</v>
      </c>
      <c r="T69" s="277">
        <v>0</v>
      </c>
      <c r="U69" s="277">
        <v>0</v>
      </c>
      <c r="V69" s="277">
        <v>0</v>
      </c>
      <c r="W69" s="277"/>
      <c r="X69" s="277"/>
      <c r="Y69" s="277"/>
      <c r="Z69" s="277"/>
    </row>
    <row r="70" spans="1:26" s="292" customFormat="1">
      <c r="A70" s="287" t="s">
        <v>358</v>
      </c>
      <c r="B70" s="288" t="s">
        <v>792</v>
      </c>
      <c r="C70" s="288">
        <v>820010</v>
      </c>
      <c r="D70" s="288">
        <v>729103</v>
      </c>
      <c r="E70" s="288"/>
      <c r="F70" s="288">
        <v>207808</v>
      </c>
      <c r="G70" s="288">
        <v>71262</v>
      </c>
      <c r="H70" s="288"/>
      <c r="I70" s="288"/>
      <c r="J70" s="288">
        <v>1828183</v>
      </c>
      <c r="K70" s="290"/>
      <c r="L70" s="288"/>
      <c r="M70" s="288"/>
      <c r="N70" s="288">
        <v>1038492</v>
      </c>
      <c r="O70" s="288">
        <v>766724.5</v>
      </c>
      <c r="P70" s="290">
        <v>104006</v>
      </c>
      <c r="Q70" s="288">
        <v>1909222.5</v>
      </c>
      <c r="R70" s="299"/>
      <c r="S70" s="291"/>
      <c r="T70" s="277"/>
      <c r="U70" s="277"/>
      <c r="V70" s="277"/>
      <c r="W70" s="277"/>
      <c r="X70" s="277"/>
      <c r="Y70" s="277"/>
      <c r="Z70" s="277"/>
    </row>
    <row r="71" spans="1:26" s="292" customFormat="1">
      <c r="A71" s="293"/>
      <c r="B71" s="294" t="s">
        <v>793</v>
      </c>
      <c r="C71" s="294">
        <v>840604</v>
      </c>
      <c r="D71" s="294">
        <v>725749</v>
      </c>
      <c r="E71" s="294"/>
      <c r="F71" s="294">
        <v>214887</v>
      </c>
      <c r="G71" s="294">
        <v>71874</v>
      </c>
      <c r="H71" s="294"/>
      <c r="I71" s="294"/>
      <c r="J71" s="294">
        <v>1853114</v>
      </c>
      <c r="K71" s="296"/>
      <c r="L71" s="294"/>
      <c r="M71" s="294"/>
      <c r="N71" s="294">
        <v>1020516</v>
      </c>
      <c r="O71" s="294">
        <v>760430</v>
      </c>
      <c r="P71" s="296">
        <v>105547</v>
      </c>
      <c r="Q71" s="294">
        <v>1886493</v>
      </c>
      <c r="R71" s="300"/>
      <c r="S71" s="297"/>
      <c r="T71" s="277"/>
      <c r="U71" s="277"/>
      <c r="V71" s="277"/>
      <c r="W71" s="277"/>
      <c r="X71" s="277"/>
      <c r="Y71" s="277"/>
      <c r="Z71" s="277"/>
    </row>
    <row r="72" spans="1:26" s="292" customFormat="1">
      <c r="A72" s="293"/>
      <c r="B72" s="288" t="s">
        <v>794</v>
      </c>
      <c r="C72" s="288">
        <v>102870</v>
      </c>
      <c r="D72" s="288">
        <v>87567</v>
      </c>
      <c r="E72" s="288">
        <v>0</v>
      </c>
      <c r="F72" s="288">
        <v>39379</v>
      </c>
      <c r="G72" s="288">
        <v>35521</v>
      </c>
      <c r="H72" s="288">
        <v>0</v>
      </c>
      <c r="I72" s="288">
        <v>0</v>
      </c>
      <c r="J72" s="288">
        <v>265337</v>
      </c>
      <c r="K72" s="290">
        <v>0</v>
      </c>
      <c r="L72" s="288">
        <v>0</v>
      </c>
      <c r="M72" s="288">
        <v>0</v>
      </c>
      <c r="N72" s="288">
        <v>282425</v>
      </c>
      <c r="O72" s="288">
        <v>180962</v>
      </c>
      <c r="P72" s="290">
        <v>16387</v>
      </c>
      <c r="Q72" s="288">
        <v>479774</v>
      </c>
      <c r="R72" s="299">
        <v>0</v>
      </c>
      <c r="S72" s="291">
        <v>0</v>
      </c>
      <c r="T72" s="277">
        <v>0</v>
      </c>
      <c r="U72" s="277">
        <v>0</v>
      </c>
      <c r="V72" s="277">
        <v>0</v>
      </c>
      <c r="W72" s="277"/>
      <c r="X72" s="277"/>
      <c r="Y72" s="277"/>
      <c r="Z72" s="277"/>
    </row>
    <row r="73" spans="1:26" s="292" customFormat="1">
      <c r="A73" s="293"/>
      <c r="B73" s="294" t="s">
        <v>795</v>
      </c>
      <c r="C73" s="294">
        <v>120834</v>
      </c>
      <c r="D73" s="294">
        <v>105416</v>
      </c>
      <c r="E73" s="294">
        <v>0</v>
      </c>
      <c r="F73" s="294">
        <v>49810</v>
      </c>
      <c r="G73" s="294">
        <v>36984</v>
      </c>
      <c r="H73" s="294">
        <v>0</v>
      </c>
      <c r="I73" s="294">
        <v>0</v>
      </c>
      <c r="J73" s="294">
        <v>313044</v>
      </c>
      <c r="K73" s="296">
        <v>0</v>
      </c>
      <c r="L73" s="294">
        <v>0</v>
      </c>
      <c r="M73" s="294">
        <v>0</v>
      </c>
      <c r="N73" s="294">
        <v>279955</v>
      </c>
      <c r="O73" s="294">
        <v>187307</v>
      </c>
      <c r="P73" s="296">
        <v>19671</v>
      </c>
      <c r="Q73" s="294">
        <v>486933</v>
      </c>
      <c r="R73" s="300">
        <v>0</v>
      </c>
      <c r="S73" s="297">
        <v>0</v>
      </c>
      <c r="T73" s="277">
        <v>0</v>
      </c>
      <c r="U73" s="277">
        <v>0</v>
      </c>
      <c r="V73" s="277">
        <v>0</v>
      </c>
      <c r="W73" s="277"/>
      <c r="X73" s="277"/>
      <c r="Y73" s="277"/>
      <c r="Z73" s="277"/>
    </row>
    <row r="74" spans="1:26" s="292" customFormat="1">
      <c r="A74" s="293"/>
      <c r="B74" s="288" t="s">
        <v>796</v>
      </c>
      <c r="C74" s="288">
        <v>108107</v>
      </c>
      <c r="D74" s="288">
        <v>99745</v>
      </c>
      <c r="E74" s="288"/>
      <c r="F74" s="288">
        <v>40819</v>
      </c>
      <c r="G74" s="288">
        <v>4839</v>
      </c>
      <c r="H74" s="288"/>
      <c r="I74" s="288"/>
      <c r="J74" s="288">
        <v>253510</v>
      </c>
      <c r="K74" s="290"/>
      <c r="L74" s="288"/>
      <c r="M74" s="288"/>
      <c r="N74" s="288">
        <v>0</v>
      </c>
      <c r="O74" s="288">
        <v>0</v>
      </c>
      <c r="P74" s="290">
        <v>0</v>
      </c>
      <c r="Q74" s="288">
        <v>0</v>
      </c>
      <c r="R74" s="299"/>
      <c r="S74" s="291"/>
      <c r="T74" s="277"/>
      <c r="U74" s="277"/>
      <c r="V74" s="277"/>
      <c r="W74" s="277"/>
      <c r="X74" s="277"/>
      <c r="Y74" s="277"/>
      <c r="Z74" s="277"/>
    </row>
    <row r="75" spans="1:26" s="292" customFormat="1">
      <c r="A75" s="293"/>
      <c r="B75" s="294" t="s">
        <v>797</v>
      </c>
      <c r="C75" s="294">
        <v>107102</v>
      </c>
      <c r="D75" s="294">
        <v>98001</v>
      </c>
      <c r="E75" s="294"/>
      <c r="F75" s="294">
        <v>38852</v>
      </c>
      <c r="G75" s="294">
        <v>4648</v>
      </c>
      <c r="H75" s="294"/>
      <c r="I75" s="294"/>
      <c r="J75" s="294">
        <v>248603</v>
      </c>
      <c r="K75" s="296"/>
      <c r="L75" s="294"/>
      <c r="M75" s="294"/>
      <c r="N75" s="294">
        <v>0</v>
      </c>
      <c r="O75" s="294">
        <v>0</v>
      </c>
      <c r="P75" s="296">
        <v>0</v>
      </c>
      <c r="Q75" s="294">
        <v>0</v>
      </c>
      <c r="R75" s="300"/>
      <c r="S75" s="297"/>
      <c r="T75" s="277"/>
      <c r="U75" s="277"/>
      <c r="V75" s="277"/>
      <c r="W75" s="277"/>
      <c r="X75" s="277"/>
      <c r="Y75" s="277"/>
      <c r="Z75" s="277"/>
    </row>
    <row r="76" spans="1:26" s="292" customFormat="1">
      <c r="A76" s="293"/>
      <c r="B76" s="288" t="s">
        <v>798</v>
      </c>
      <c r="C76" s="288">
        <v>30282</v>
      </c>
      <c r="D76" s="288">
        <v>20431</v>
      </c>
      <c r="E76" s="288">
        <v>0</v>
      </c>
      <c r="F76" s="288">
        <v>30699</v>
      </c>
      <c r="G76" s="288">
        <v>1814</v>
      </c>
      <c r="H76" s="288">
        <v>0</v>
      </c>
      <c r="I76" s="288">
        <v>0</v>
      </c>
      <c r="J76" s="288">
        <v>83226</v>
      </c>
      <c r="K76" s="290">
        <v>0</v>
      </c>
      <c r="L76" s="288">
        <v>0</v>
      </c>
      <c r="M76" s="288">
        <v>0</v>
      </c>
      <c r="N76" s="288">
        <v>0</v>
      </c>
      <c r="O76" s="288">
        <v>0</v>
      </c>
      <c r="P76" s="290">
        <v>0</v>
      </c>
      <c r="Q76" s="288">
        <v>0</v>
      </c>
      <c r="R76" s="299">
        <v>0</v>
      </c>
      <c r="S76" s="291">
        <v>0</v>
      </c>
      <c r="T76" s="277">
        <v>0</v>
      </c>
      <c r="U76" s="277">
        <v>0</v>
      </c>
      <c r="V76" s="277">
        <v>0</v>
      </c>
      <c r="W76" s="277"/>
      <c r="X76" s="277"/>
      <c r="Y76" s="277"/>
      <c r="Z76" s="277"/>
    </row>
    <row r="77" spans="1:26" s="292" customFormat="1">
      <c r="A77" s="298"/>
      <c r="B77" s="294" t="s">
        <v>799</v>
      </c>
      <c r="C77" s="294">
        <v>31902</v>
      </c>
      <c r="D77" s="294">
        <v>21628</v>
      </c>
      <c r="E77" s="294">
        <v>0</v>
      </c>
      <c r="F77" s="294">
        <v>30658</v>
      </c>
      <c r="G77" s="294">
        <v>1585</v>
      </c>
      <c r="H77" s="294">
        <v>0</v>
      </c>
      <c r="I77" s="294">
        <v>0</v>
      </c>
      <c r="J77" s="294">
        <v>85773</v>
      </c>
      <c r="K77" s="296">
        <v>0</v>
      </c>
      <c r="L77" s="294">
        <v>0</v>
      </c>
      <c r="M77" s="294">
        <v>0</v>
      </c>
      <c r="N77" s="294">
        <v>0</v>
      </c>
      <c r="O77" s="294">
        <v>0</v>
      </c>
      <c r="P77" s="296">
        <v>0</v>
      </c>
      <c r="Q77" s="294">
        <v>0</v>
      </c>
      <c r="R77" s="300">
        <v>0</v>
      </c>
      <c r="S77" s="297">
        <v>0</v>
      </c>
      <c r="T77" s="277">
        <v>0</v>
      </c>
      <c r="U77" s="277">
        <v>0</v>
      </c>
      <c r="V77" s="277">
        <v>0</v>
      </c>
      <c r="W77" s="277"/>
      <c r="X77" s="277"/>
      <c r="Y77" s="277"/>
      <c r="Z77" s="277"/>
    </row>
    <row r="78" spans="1:26" s="292" customFormat="1">
      <c r="A78" s="287" t="s">
        <v>384</v>
      </c>
      <c r="B78" s="288" t="s">
        <v>792</v>
      </c>
      <c r="C78" s="288">
        <v>2295259</v>
      </c>
      <c r="D78" s="288">
        <v>636002</v>
      </c>
      <c r="E78" s="288">
        <v>1610453</v>
      </c>
      <c r="F78" s="288">
        <v>147968</v>
      </c>
      <c r="G78" s="288">
        <v>285741</v>
      </c>
      <c r="H78" s="288">
        <v>146678</v>
      </c>
      <c r="I78" s="288"/>
      <c r="J78" s="288">
        <v>5122101</v>
      </c>
      <c r="K78" s="290"/>
      <c r="L78" s="288"/>
      <c r="M78" s="288"/>
      <c r="N78" s="288">
        <v>1505882</v>
      </c>
      <c r="O78" s="288">
        <v>1236407.5</v>
      </c>
      <c r="P78" s="290">
        <v>554343.5</v>
      </c>
      <c r="Q78" s="288">
        <v>3296633</v>
      </c>
      <c r="R78" s="299"/>
      <c r="S78" s="291"/>
      <c r="T78" s="277"/>
      <c r="U78" s="277"/>
      <c r="V78" s="277"/>
      <c r="W78" s="277"/>
      <c r="X78" s="277"/>
      <c r="Y78" s="277"/>
      <c r="Z78" s="277"/>
    </row>
    <row r="79" spans="1:26" s="292" customFormat="1">
      <c r="A79" s="293"/>
      <c r="B79" s="294" t="s">
        <v>793</v>
      </c>
      <c r="C79" s="294">
        <v>2326246</v>
      </c>
      <c r="D79" s="294">
        <v>636129</v>
      </c>
      <c r="E79" s="294">
        <v>1653756</v>
      </c>
      <c r="F79" s="294">
        <v>142028</v>
      </c>
      <c r="G79" s="294">
        <v>279736</v>
      </c>
      <c r="H79" s="294">
        <v>140061</v>
      </c>
      <c r="I79" s="294"/>
      <c r="J79" s="294">
        <v>5177956</v>
      </c>
      <c r="K79" s="296"/>
      <c r="L79" s="294"/>
      <c r="M79" s="294"/>
      <c r="N79" s="294">
        <v>1508215.1</v>
      </c>
      <c r="O79" s="294">
        <v>1224243.5</v>
      </c>
      <c r="P79" s="296">
        <v>554541.5</v>
      </c>
      <c r="Q79" s="294">
        <v>3287000.1</v>
      </c>
      <c r="R79" s="300"/>
      <c r="S79" s="297"/>
      <c r="T79" s="277"/>
      <c r="U79" s="277"/>
      <c r="V79" s="277"/>
      <c r="W79" s="277"/>
      <c r="X79" s="277"/>
      <c r="Y79" s="277"/>
      <c r="Z79" s="277"/>
    </row>
    <row r="80" spans="1:26" s="292" customFormat="1">
      <c r="A80" s="293"/>
      <c r="B80" s="288" t="s">
        <v>794</v>
      </c>
      <c r="C80" s="288">
        <v>301087</v>
      </c>
      <c r="D80" s="288">
        <v>130977</v>
      </c>
      <c r="E80" s="288">
        <v>217106</v>
      </c>
      <c r="F80" s="288">
        <v>44518</v>
      </c>
      <c r="G80" s="288">
        <v>69379</v>
      </c>
      <c r="H80" s="288">
        <v>15728</v>
      </c>
      <c r="I80" s="288">
        <v>0</v>
      </c>
      <c r="J80" s="288">
        <v>778795</v>
      </c>
      <c r="K80" s="290">
        <v>0</v>
      </c>
      <c r="L80" s="288">
        <v>0</v>
      </c>
      <c r="M80" s="288">
        <v>0</v>
      </c>
      <c r="N80" s="288">
        <v>840489</v>
      </c>
      <c r="O80" s="288">
        <v>770044.5</v>
      </c>
      <c r="P80" s="290">
        <v>370293</v>
      </c>
      <c r="Q80" s="288">
        <v>1980826.5</v>
      </c>
      <c r="R80" s="299">
        <v>0</v>
      </c>
      <c r="S80" s="291">
        <v>0</v>
      </c>
      <c r="T80" s="277">
        <v>0</v>
      </c>
      <c r="U80" s="277">
        <v>0</v>
      </c>
      <c r="V80" s="277">
        <v>0</v>
      </c>
      <c r="W80" s="277"/>
      <c r="X80" s="277"/>
      <c r="Y80" s="277"/>
      <c r="Z80" s="277"/>
    </row>
    <row r="81" spans="1:26" s="292" customFormat="1">
      <c r="A81" s="293"/>
      <c r="B81" s="294" t="s">
        <v>795</v>
      </c>
      <c r="C81" s="294">
        <v>312998</v>
      </c>
      <c r="D81" s="294">
        <v>127489</v>
      </c>
      <c r="E81" s="294">
        <v>247893</v>
      </c>
      <c r="F81" s="294">
        <v>47284</v>
      </c>
      <c r="G81" s="294">
        <v>66021</v>
      </c>
      <c r="H81" s="294">
        <v>8862</v>
      </c>
      <c r="I81" s="294">
        <v>0</v>
      </c>
      <c r="J81" s="294">
        <v>810547</v>
      </c>
      <c r="K81" s="296">
        <v>0</v>
      </c>
      <c r="L81" s="294">
        <v>0</v>
      </c>
      <c r="M81" s="294">
        <v>0</v>
      </c>
      <c r="N81" s="294">
        <v>869102</v>
      </c>
      <c r="O81" s="294">
        <v>793042.5</v>
      </c>
      <c r="P81" s="296">
        <v>373239</v>
      </c>
      <c r="Q81" s="294">
        <v>2035383.5</v>
      </c>
      <c r="R81" s="300">
        <v>0</v>
      </c>
      <c r="S81" s="297">
        <v>0</v>
      </c>
      <c r="T81" s="277">
        <v>0</v>
      </c>
      <c r="U81" s="277">
        <v>0</v>
      </c>
      <c r="V81" s="277">
        <v>0</v>
      </c>
      <c r="W81" s="277"/>
      <c r="X81" s="277"/>
      <c r="Y81" s="277"/>
      <c r="Z81" s="277"/>
    </row>
    <row r="82" spans="1:26" s="292" customFormat="1">
      <c r="A82" s="293"/>
      <c r="B82" s="288" t="s">
        <v>796</v>
      </c>
      <c r="C82" s="288">
        <v>473795</v>
      </c>
      <c r="D82" s="288">
        <v>80701</v>
      </c>
      <c r="E82" s="288">
        <v>158538</v>
      </c>
      <c r="F82" s="288">
        <v>12527</v>
      </c>
      <c r="G82" s="288">
        <v>22776</v>
      </c>
      <c r="H82" s="288">
        <v>923</v>
      </c>
      <c r="I82" s="288"/>
      <c r="J82" s="288">
        <v>749260</v>
      </c>
      <c r="K82" s="290"/>
      <c r="L82" s="288"/>
      <c r="M82" s="288"/>
      <c r="N82" s="288">
        <v>0</v>
      </c>
      <c r="O82" s="288">
        <v>0</v>
      </c>
      <c r="P82" s="290">
        <v>0</v>
      </c>
      <c r="Q82" s="288">
        <v>0</v>
      </c>
      <c r="R82" s="299"/>
      <c r="S82" s="291"/>
      <c r="T82" s="277"/>
      <c r="U82" s="277"/>
      <c r="V82" s="277"/>
      <c r="W82" s="277"/>
      <c r="X82" s="277"/>
      <c r="Y82" s="277"/>
      <c r="Z82" s="277"/>
    </row>
    <row r="83" spans="1:26" s="292" customFormat="1">
      <c r="A83" s="293"/>
      <c r="B83" s="294" t="s">
        <v>797</v>
      </c>
      <c r="C83" s="294">
        <v>482925</v>
      </c>
      <c r="D83" s="294">
        <v>83269</v>
      </c>
      <c r="E83" s="294">
        <v>160267</v>
      </c>
      <c r="F83" s="294">
        <v>15133</v>
      </c>
      <c r="G83" s="294">
        <v>22509</v>
      </c>
      <c r="H83" s="294">
        <v>1021</v>
      </c>
      <c r="I83" s="294"/>
      <c r="J83" s="294">
        <v>765124</v>
      </c>
      <c r="K83" s="296"/>
      <c r="L83" s="294"/>
      <c r="M83" s="294"/>
      <c r="N83" s="294">
        <v>0</v>
      </c>
      <c r="O83" s="294">
        <v>0</v>
      </c>
      <c r="P83" s="296">
        <v>0</v>
      </c>
      <c r="Q83" s="294">
        <v>0</v>
      </c>
      <c r="R83" s="300"/>
      <c r="S83" s="297"/>
      <c r="T83" s="277"/>
      <c r="U83" s="277"/>
      <c r="V83" s="277"/>
      <c r="W83" s="277"/>
      <c r="X83" s="277"/>
      <c r="Y83" s="277"/>
      <c r="Z83" s="277"/>
    </row>
    <row r="84" spans="1:26" s="292" customFormat="1">
      <c r="A84" s="293"/>
      <c r="B84" s="288" t="s">
        <v>798</v>
      </c>
      <c r="C84" s="288">
        <v>91023</v>
      </c>
      <c r="D84" s="288">
        <v>42033</v>
      </c>
      <c r="E84" s="288">
        <v>47918</v>
      </c>
      <c r="F84" s="288">
        <v>5338</v>
      </c>
      <c r="G84" s="288">
        <v>9444</v>
      </c>
      <c r="H84" s="288">
        <v>94</v>
      </c>
      <c r="I84" s="288">
        <v>0</v>
      </c>
      <c r="J84" s="288">
        <v>195850</v>
      </c>
      <c r="K84" s="290">
        <v>0</v>
      </c>
      <c r="L84" s="288">
        <v>0</v>
      </c>
      <c r="M84" s="288">
        <v>0</v>
      </c>
      <c r="N84" s="288">
        <v>0</v>
      </c>
      <c r="O84" s="288">
        <v>0</v>
      </c>
      <c r="P84" s="290">
        <v>0</v>
      </c>
      <c r="Q84" s="288">
        <v>0</v>
      </c>
      <c r="R84" s="299">
        <v>0</v>
      </c>
      <c r="S84" s="291">
        <v>0</v>
      </c>
      <c r="T84" s="277">
        <v>0</v>
      </c>
      <c r="U84" s="277">
        <v>0</v>
      </c>
      <c r="V84" s="277">
        <v>0</v>
      </c>
      <c r="W84" s="277"/>
      <c r="X84" s="277"/>
      <c r="Y84" s="277"/>
      <c r="Z84" s="277"/>
    </row>
    <row r="85" spans="1:26" s="292" customFormat="1">
      <c r="A85" s="298"/>
      <c r="B85" s="294" t="s">
        <v>799</v>
      </c>
      <c r="C85" s="294">
        <v>91715</v>
      </c>
      <c r="D85" s="294">
        <v>44994</v>
      </c>
      <c r="E85" s="294">
        <v>55527</v>
      </c>
      <c r="F85" s="294">
        <v>7852</v>
      </c>
      <c r="G85" s="294">
        <v>9802</v>
      </c>
      <c r="H85" s="294">
        <v>120</v>
      </c>
      <c r="I85" s="294">
        <v>0</v>
      </c>
      <c r="J85" s="294">
        <v>210010</v>
      </c>
      <c r="K85" s="296">
        <v>0</v>
      </c>
      <c r="L85" s="294">
        <v>0</v>
      </c>
      <c r="M85" s="294">
        <v>0</v>
      </c>
      <c r="N85" s="294">
        <v>0</v>
      </c>
      <c r="O85" s="294">
        <v>0</v>
      </c>
      <c r="P85" s="296">
        <v>0</v>
      </c>
      <c r="Q85" s="294">
        <v>0</v>
      </c>
      <c r="R85" s="300">
        <v>0</v>
      </c>
      <c r="S85" s="297">
        <v>0</v>
      </c>
      <c r="T85" s="277">
        <v>0</v>
      </c>
      <c r="U85" s="277">
        <v>0</v>
      </c>
      <c r="V85" s="277">
        <v>0</v>
      </c>
      <c r="W85" s="277"/>
      <c r="X85" s="277"/>
      <c r="Y85" s="277"/>
      <c r="Z85" s="277"/>
    </row>
    <row r="86" spans="1:26" s="292" customFormat="1">
      <c r="A86" s="287" t="s">
        <v>459</v>
      </c>
      <c r="B86" s="288" t="s">
        <v>792</v>
      </c>
      <c r="C86" s="288">
        <v>1199258</v>
      </c>
      <c r="D86" s="288"/>
      <c r="E86" s="288">
        <v>529639</v>
      </c>
      <c r="F86" s="288">
        <v>204996</v>
      </c>
      <c r="G86" s="288">
        <v>325694</v>
      </c>
      <c r="H86" s="288">
        <v>143521</v>
      </c>
      <c r="I86" s="288"/>
      <c r="J86" s="288">
        <v>2403108</v>
      </c>
      <c r="K86" s="290"/>
      <c r="L86" s="288"/>
      <c r="M86" s="288">
        <v>200921</v>
      </c>
      <c r="N86" s="288">
        <v>563681</v>
      </c>
      <c r="O86" s="288">
        <v>221929</v>
      </c>
      <c r="P86" s="290">
        <v>341168</v>
      </c>
      <c r="Q86" s="288">
        <v>1327699</v>
      </c>
      <c r="R86" s="299"/>
      <c r="S86" s="291"/>
      <c r="T86" s="277"/>
      <c r="U86" s="277"/>
      <c r="V86" s="277"/>
      <c r="W86" s="277"/>
      <c r="X86" s="277"/>
      <c r="Y86" s="277"/>
      <c r="Z86" s="277"/>
    </row>
    <row r="87" spans="1:26" s="292" customFormat="1">
      <c r="A87" s="293"/>
      <c r="B87" s="294" t="s">
        <v>793</v>
      </c>
      <c r="C87" s="294">
        <v>1193294</v>
      </c>
      <c r="D87" s="294"/>
      <c r="E87" s="294">
        <v>520865</v>
      </c>
      <c r="F87" s="294">
        <v>205446</v>
      </c>
      <c r="G87" s="294">
        <v>292626</v>
      </c>
      <c r="H87" s="294">
        <v>138785</v>
      </c>
      <c r="I87" s="294"/>
      <c r="J87" s="294">
        <v>2351016</v>
      </c>
      <c r="K87" s="296"/>
      <c r="L87" s="294"/>
      <c r="M87" s="294">
        <v>204757</v>
      </c>
      <c r="N87" s="294">
        <v>540588</v>
      </c>
      <c r="O87" s="294">
        <v>212511</v>
      </c>
      <c r="P87" s="296">
        <v>320872</v>
      </c>
      <c r="Q87" s="294">
        <v>1278728</v>
      </c>
      <c r="R87" s="300"/>
      <c r="S87" s="297"/>
      <c r="T87" s="277"/>
      <c r="U87" s="277"/>
      <c r="V87" s="277"/>
      <c r="W87" s="277"/>
      <c r="X87" s="277"/>
      <c r="Y87" s="277"/>
      <c r="Z87" s="277"/>
    </row>
    <row r="88" spans="1:26" s="292" customFormat="1">
      <c r="A88" s="293"/>
      <c r="B88" s="288" t="s">
        <v>794</v>
      </c>
      <c r="C88" s="288">
        <v>152579</v>
      </c>
      <c r="D88" s="288">
        <v>0</v>
      </c>
      <c r="E88" s="288">
        <v>114819</v>
      </c>
      <c r="F88" s="288">
        <v>55296</v>
      </c>
      <c r="G88" s="288">
        <v>65614</v>
      </c>
      <c r="H88" s="288">
        <v>33021</v>
      </c>
      <c r="I88" s="288">
        <v>0</v>
      </c>
      <c r="J88" s="288">
        <v>421329</v>
      </c>
      <c r="K88" s="290">
        <v>0</v>
      </c>
      <c r="L88" s="288">
        <v>0</v>
      </c>
      <c r="M88" s="288">
        <v>66352</v>
      </c>
      <c r="N88" s="288">
        <v>170129</v>
      </c>
      <c r="O88" s="288">
        <v>63319</v>
      </c>
      <c r="P88" s="290">
        <v>92082</v>
      </c>
      <c r="Q88" s="288">
        <v>391882</v>
      </c>
      <c r="R88" s="299">
        <v>0</v>
      </c>
      <c r="S88" s="291">
        <v>0</v>
      </c>
      <c r="T88" s="277">
        <v>0</v>
      </c>
      <c r="U88" s="277">
        <v>0</v>
      </c>
      <c r="V88" s="277">
        <v>0</v>
      </c>
      <c r="W88" s="277"/>
      <c r="X88" s="277"/>
      <c r="Y88" s="277"/>
      <c r="Z88" s="277"/>
    </row>
    <row r="89" spans="1:26" s="292" customFormat="1">
      <c r="A89" s="293"/>
      <c r="B89" s="294" t="s">
        <v>795</v>
      </c>
      <c r="C89" s="294">
        <v>161110</v>
      </c>
      <c r="D89" s="294">
        <v>0</v>
      </c>
      <c r="E89" s="294">
        <v>124338</v>
      </c>
      <c r="F89" s="294">
        <v>58866</v>
      </c>
      <c r="G89" s="294">
        <v>70154</v>
      </c>
      <c r="H89" s="294">
        <v>31830</v>
      </c>
      <c r="I89" s="294">
        <v>0</v>
      </c>
      <c r="J89" s="294">
        <v>446298</v>
      </c>
      <c r="K89" s="296">
        <v>0</v>
      </c>
      <c r="L89" s="294">
        <v>0</v>
      </c>
      <c r="M89" s="294">
        <v>71853</v>
      </c>
      <c r="N89" s="294">
        <v>158129</v>
      </c>
      <c r="O89" s="294">
        <v>62722</v>
      </c>
      <c r="P89" s="296">
        <v>98313</v>
      </c>
      <c r="Q89" s="294">
        <v>391017</v>
      </c>
      <c r="R89" s="300">
        <v>0</v>
      </c>
      <c r="S89" s="297">
        <v>0</v>
      </c>
      <c r="T89" s="277">
        <v>0</v>
      </c>
      <c r="U89" s="277">
        <v>0</v>
      </c>
      <c r="V89" s="277">
        <v>0</v>
      </c>
      <c r="W89" s="277"/>
      <c r="X89" s="277"/>
      <c r="Y89" s="277"/>
      <c r="Z89" s="277"/>
    </row>
    <row r="90" spans="1:26" s="292" customFormat="1">
      <c r="A90" s="293"/>
      <c r="B90" s="288" t="s">
        <v>796</v>
      </c>
      <c r="C90" s="288">
        <v>235608</v>
      </c>
      <c r="D90" s="288"/>
      <c r="E90" s="288">
        <v>47254</v>
      </c>
      <c r="F90" s="288">
        <v>22285</v>
      </c>
      <c r="G90" s="288">
        <v>29645</v>
      </c>
      <c r="H90" s="288">
        <v>474</v>
      </c>
      <c r="I90" s="288"/>
      <c r="J90" s="288">
        <v>335266</v>
      </c>
      <c r="K90" s="290"/>
      <c r="L90" s="288"/>
      <c r="M90" s="288">
        <v>0</v>
      </c>
      <c r="N90" s="288">
        <v>0</v>
      </c>
      <c r="O90" s="288">
        <v>0</v>
      </c>
      <c r="P90" s="290">
        <v>0</v>
      </c>
      <c r="Q90" s="288">
        <v>0</v>
      </c>
      <c r="R90" s="299"/>
      <c r="S90" s="291"/>
      <c r="T90" s="277"/>
      <c r="U90" s="277"/>
      <c r="V90" s="277"/>
      <c r="W90" s="277"/>
      <c r="X90" s="277"/>
      <c r="Y90" s="277"/>
      <c r="Z90" s="277"/>
    </row>
    <row r="91" spans="1:26" s="292" customFormat="1">
      <c r="A91" s="293"/>
      <c r="B91" s="294" t="s">
        <v>797</v>
      </c>
      <c r="C91" s="294">
        <v>214044</v>
      </c>
      <c r="D91" s="294"/>
      <c r="E91" s="294">
        <v>44392</v>
      </c>
      <c r="F91" s="294">
        <v>26647</v>
      </c>
      <c r="G91" s="294">
        <v>25494</v>
      </c>
      <c r="H91" s="294">
        <v>504</v>
      </c>
      <c r="I91" s="294"/>
      <c r="J91" s="294">
        <v>311081</v>
      </c>
      <c r="K91" s="296"/>
      <c r="L91" s="294"/>
      <c r="M91" s="294">
        <v>0</v>
      </c>
      <c r="N91" s="294">
        <v>0</v>
      </c>
      <c r="O91" s="294">
        <v>0</v>
      </c>
      <c r="P91" s="296">
        <v>0</v>
      </c>
      <c r="Q91" s="294">
        <v>0</v>
      </c>
      <c r="R91" s="300"/>
      <c r="S91" s="297"/>
      <c r="T91" s="277"/>
      <c r="U91" s="277"/>
      <c r="V91" s="277"/>
      <c r="W91" s="277"/>
      <c r="X91" s="277"/>
      <c r="Y91" s="277"/>
      <c r="Z91" s="277"/>
    </row>
    <row r="92" spans="1:26" s="292" customFormat="1">
      <c r="A92" s="293"/>
      <c r="B92" s="288" t="s">
        <v>798</v>
      </c>
      <c r="C92" s="288">
        <v>37676</v>
      </c>
      <c r="D92" s="288">
        <v>0</v>
      </c>
      <c r="E92" s="288">
        <v>8843</v>
      </c>
      <c r="F92" s="288">
        <v>11899</v>
      </c>
      <c r="G92" s="288">
        <v>16769</v>
      </c>
      <c r="H92" s="288">
        <v>0</v>
      </c>
      <c r="I92" s="288">
        <v>0</v>
      </c>
      <c r="J92" s="288">
        <v>75187</v>
      </c>
      <c r="K92" s="290">
        <v>0</v>
      </c>
      <c r="L92" s="288">
        <v>0</v>
      </c>
      <c r="M92" s="288">
        <v>0</v>
      </c>
      <c r="N92" s="288">
        <v>0</v>
      </c>
      <c r="O92" s="288">
        <v>0</v>
      </c>
      <c r="P92" s="290">
        <v>0</v>
      </c>
      <c r="Q92" s="288">
        <v>0</v>
      </c>
      <c r="R92" s="299">
        <v>0</v>
      </c>
      <c r="S92" s="291">
        <v>0</v>
      </c>
      <c r="T92" s="277">
        <v>0</v>
      </c>
      <c r="U92" s="277">
        <v>0</v>
      </c>
      <c r="V92" s="277">
        <v>0</v>
      </c>
      <c r="W92" s="277"/>
      <c r="X92" s="277"/>
      <c r="Y92" s="277"/>
      <c r="Z92" s="277"/>
    </row>
    <row r="93" spans="1:26" s="292" customFormat="1">
      <c r="A93" s="298"/>
      <c r="B93" s="294" t="s">
        <v>799</v>
      </c>
      <c r="C93" s="294">
        <v>45051</v>
      </c>
      <c r="D93" s="294">
        <v>0</v>
      </c>
      <c r="E93" s="294">
        <v>9407</v>
      </c>
      <c r="F93" s="294">
        <v>16812</v>
      </c>
      <c r="G93" s="294">
        <v>13243</v>
      </c>
      <c r="H93" s="294">
        <v>45</v>
      </c>
      <c r="I93" s="294">
        <v>0</v>
      </c>
      <c r="J93" s="294">
        <v>84558</v>
      </c>
      <c r="K93" s="296">
        <v>0</v>
      </c>
      <c r="L93" s="294">
        <v>0</v>
      </c>
      <c r="M93" s="294">
        <v>0</v>
      </c>
      <c r="N93" s="294">
        <v>0</v>
      </c>
      <c r="O93" s="294">
        <v>0</v>
      </c>
      <c r="P93" s="296">
        <v>0</v>
      </c>
      <c r="Q93" s="294">
        <v>0</v>
      </c>
      <c r="R93" s="300">
        <v>0</v>
      </c>
      <c r="S93" s="297">
        <v>0</v>
      </c>
      <c r="T93" s="277">
        <v>0</v>
      </c>
      <c r="U93" s="277">
        <v>0</v>
      </c>
      <c r="V93" s="277">
        <v>0</v>
      </c>
      <c r="W93" s="277"/>
      <c r="X93" s="277"/>
      <c r="Y93" s="277"/>
      <c r="Z93" s="277"/>
    </row>
    <row r="94" spans="1:26" s="292" customFormat="1">
      <c r="A94" s="287" t="s">
        <v>489</v>
      </c>
      <c r="B94" s="288" t="s">
        <v>792</v>
      </c>
      <c r="C94" s="288">
        <v>1337729</v>
      </c>
      <c r="D94" s="288"/>
      <c r="E94" s="288">
        <v>535875</v>
      </c>
      <c r="F94" s="288"/>
      <c r="G94" s="288">
        <v>452011</v>
      </c>
      <c r="H94" s="288">
        <v>370047.5</v>
      </c>
      <c r="I94" s="288"/>
      <c r="J94" s="288">
        <v>2695662.5</v>
      </c>
      <c r="K94" s="290"/>
      <c r="L94" s="288"/>
      <c r="M94" s="288"/>
      <c r="N94" s="288">
        <v>1085701</v>
      </c>
      <c r="O94" s="288">
        <v>567320</v>
      </c>
      <c r="P94" s="290">
        <v>244237</v>
      </c>
      <c r="Q94" s="288">
        <v>1897258</v>
      </c>
      <c r="R94" s="299"/>
      <c r="S94" s="291"/>
      <c r="T94" s="277"/>
      <c r="U94" s="277"/>
      <c r="V94" s="277"/>
      <c r="W94" s="277"/>
      <c r="X94" s="277"/>
      <c r="Y94" s="277"/>
      <c r="Z94" s="277"/>
    </row>
    <row r="95" spans="1:26" s="292" customFormat="1">
      <c r="A95" s="293"/>
      <c r="B95" s="294" t="s">
        <v>793</v>
      </c>
      <c r="C95" s="294">
        <v>1368030</v>
      </c>
      <c r="D95" s="294"/>
      <c r="E95" s="294">
        <v>542042</v>
      </c>
      <c r="F95" s="294"/>
      <c r="G95" s="294">
        <v>453357</v>
      </c>
      <c r="H95" s="294">
        <v>377881</v>
      </c>
      <c r="I95" s="294"/>
      <c r="J95" s="294">
        <v>2741310</v>
      </c>
      <c r="K95" s="296"/>
      <c r="L95" s="294"/>
      <c r="M95" s="294"/>
      <c r="N95" s="294">
        <v>1044803</v>
      </c>
      <c r="O95" s="294">
        <v>534182</v>
      </c>
      <c r="P95" s="296">
        <v>241051</v>
      </c>
      <c r="Q95" s="294">
        <v>1820036</v>
      </c>
      <c r="R95" s="300"/>
      <c r="S95" s="297"/>
      <c r="T95" s="277"/>
      <c r="U95" s="277"/>
      <c r="V95" s="277"/>
      <c r="W95" s="277"/>
      <c r="X95" s="277"/>
      <c r="Y95" s="277"/>
      <c r="Z95" s="277"/>
    </row>
    <row r="96" spans="1:26" s="292" customFormat="1">
      <c r="A96" s="293"/>
      <c r="B96" s="288" t="s">
        <v>794</v>
      </c>
      <c r="C96" s="288">
        <v>95154</v>
      </c>
      <c r="D96" s="288">
        <v>0</v>
      </c>
      <c r="E96" s="288">
        <v>26547</v>
      </c>
      <c r="F96" s="288">
        <v>0</v>
      </c>
      <c r="G96" s="288">
        <v>45656</v>
      </c>
      <c r="H96" s="288">
        <v>46220</v>
      </c>
      <c r="I96" s="288">
        <v>0</v>
      </c>
      <c r="J96" s="288">
        <v>213577</v>
      </c>
      <c r="K96" s="290">
        <v>0</v>
      </c>
      <c r="L96" s="288">
        <v>0</v>
      </c>
      <c r="M96" s="288">
        <v>0</v>
      </c>
      <c r="N96" s="288">
        <v>301763</v>
      </c>
      <c r="O96" s="288">
        <v>212571</v>
      </c>
      <c r="P96" s="290">
        <v>49787</v>
      </c>
      <c r="Q96" s="288">
        <v>564121</v>
      </c>
      <c r="R96" s="299">
        <v>0</v>
      </c>
      <c r="S96" s="291">
        <v>0</v>
      </c>
      <c r="T96" s="277">
        <v>0</v>
      </c>
      <c r="U96" s="277">
        <v>0</v>
      </c>
      <c r="V96" s="277">
        <v>0</v>
      </c>
      <c r="W96" s="277"/>
      <c r="X96" s="277"/>
      <c r="Y96" s="277"/>
      <c r="Z96" s="277"/>
    </row>
    <row r="97" spans="1:26" s="292" customFormat="1">
      <c r="A97" s="293"/>
      <c r="B97" s="294" t="s">
        <v>795</v>
      </c>
      <c r="C97" s="294">
        <v>119782</v>
      </c>
      <c r="D97" s="294">
        <v>0</v>
      </c>
      <c r="E97" s="294">
        <v>37478</v>
      </c>
      <c r="F97" s="294">
        <v>0</v>
      </c>
      <c r="G97" s="294">
        <v>53007</v>
      </c>
      <c r="H97" s="294">
        <v>55293</v>
      </c>
      <c r="I97" s="294">
        <v>0</v>
      </c>
      <c r="J97" s="294">
        <v>265560</v>
      </c>
      <c r="K97" s="296">
        <v>0</v>
      </c>
      <c r="L97" s="294">
        <v>0</v>
      </c>
      <c r="M97" s="294">
        <v>0</v>
      </c>
      <c r="N97" s="294">
        <v>325667</v>
      </c>
      <c r="O97" s="294">
        <v>198956</v>
      </c>
      <c r="P97" s="296">
        <v>52079</v>
      </c>
      <c r="Q97" s="294">
        <v>576702</v>
      </c>
      <c r="R97" s="300">
        <v>0</v>
      </c>
      <c r="S97" s="297">
        <v>0</v>
      </c>
      <c r="T97" s="277">
        <v>0</v>
      </c>
      <c r="U97" s="277">
        <v>0</v>
      </c>
      <c r="V97" s="277">
        <v>0</v>
      </c>
      <c r="W97" s="277"/>
      <c r="X97" s="277"/>
      <c r="Y97" s="277"/>
      <c r="Z97" s="277"/>
    </row>
    <row r="98" spans="1:26" s="292" customFormat="1">
      <c r="A98" s="293"/>
      <c r="B98" s="288" t="s">
        <v>796</v>
      </c>
      <c r="C98" s="288">
        <v>272703</v>
      </c>
      <c r="D98" s="288"/>
      <c r="E98" s="288">
        <v>51289</v>
      </c>
      <c r="F98" s="288"/>
      <c r="G98" s="288">
        <v>26951</v>
      </c>
      <c r="H98" s="288">
        <v>7385</v>
      </c>
      <c r="I98" s="288"/>
      <c r="J98" s="288">
        <v>358328</v>
      </c>
      <c r="K98" s="290"/>
      <c r="L98" s="288"/>
      <c r="M98" s="288"/>
      <c r="N98" s="288">
        <v>0</v>
      </c>
      <c r="O98" s="288">
        <v>0</v>
      </c>
      <c r="P98" s="290">
        <v>0</v>
      </c>
      <c r="Q98" s="288">
        <v>0</v>
      </c>
      <c r="R98" s="299"/>
      <c r="S98" s="291"/>
      <c r="T98" s="277"/>
      <c r="U98" s="277"/>
      <c r="V98" s="277"/>
      <c r="W98" s="277"/>
      <c r="X98" s="277"/>
      <c r="Y98" s="277"/>
      <c r="Z98" s="277"/>
    </row>
    <row r="99" spans="1:26" s="292" customFormat="1">
      <c r="A99" s="293"/>
      <c r="B99" s="294" t="s">
        <v>797</v>
      </c>
      <c r="C99" s="294">
        <v>273176</v>
      </c>
      <c r="D99" s="294"/>
      <c r="E99" s="294">
        <v>42525</v>
      </c>
      <c r="F99" s="294"/>
      <c r="G99" s="294">
        <v>26971</v>
      </c>
      <c r="H99" s="294">
        <v>6505</v>
      </c>
      <c r="I99" s="294"/>
      <c r="J99" s="294">
        <v>349177</v>
      </c>
      <c r="K99" s="296"/>
      <c r="L99" s="294"/>
      <c r="M99" s="294"/>
      <c r="N99" s="294">
        <v>0</v>
      </c>
      <c r="O99" s="294">
        <v>0</v>
      </c>
      <c r="P99" s="296">
        <v>0</v>
      </c>
      <c r="Q99" s="294">
        <v>0</v>
      </c>
      <c r="R99" s="300"/>
      <c r="S99" s="297"/>
      <c r="T99" s="277"/>
      <c r="U99" s="277"/>
      <c r="V99" s="277"/>
      <c r="W99" s="277"/>
      <c r="X99" s="277"/>
      <c r="Y99" s="277"/>
      <c r="Z99" s="277"/>
    </row>
    <row r="100" spans="1:26" s="292" customFormat="1">
      <c r="A100" s="293"/>
      <c r="B100" s="288" t="s">
        <v>798</v>
      </c>
      <c r="C100" s="288">
        <v>60347</v>
      </c>
      <c r="D100" s="288">
        <v>0</v>
      </c>
      <c r="E100" s="288">
        <v>7003</v>
      </c>
      <c r="F100" s="288">
        <v>0</v>
      </c>
      <c r="G100" s="288">
        <v>9378</v>
      </c>
      <c r="H100" s="288">
        <v>5207</v>
      </c>
      <c r="I100" s="288">
        <v>0</v>
      </c>
      <c r="J100" s="288">
        <v>81935</v>
      </c>
      <c r="K100" s="290">
        <v>0</v>
      </c>
      <c r="L100" s="288">
        <v>0</v>
      </c>
      <c r="M100" s="288">
        <v>0</v>
      </c>
      <c r="N100" s="288">
        <v>0</v>
      </c>
      <c r="O100" s="288">
        <v>0</v>
      </c>
      <c r="P100" s="290">
        <v>0</v>
      </c>
      <c r="Q100" s="288">
        <v>0</v>
      </c>
      <c r="R100" s="299">
        <v>0</v>
      </c>
      <c r="S100" s="291">
        <v>0</v>
      </c>
      <c r="T100" s="277">
        <v>0</v>
      </c>
      <c r="U100" s="277">
        <v>0</v>
      </c>
      <c r="V100" s="277">
        <v>0</v>
      </c>
      <c r="W100" s="277"/>
      <c r="X100" s="277"/>
      <c r="Y100" s="277"/>
      <c r="Z100" s="277"/>
    </row>
    <row r="101" spans="1:26" s="292" customFormat="1">
      <c r="A101" s="298"/>
      <c r="B101" s="294" t="s">
        <v>799</v>
      </c>
      <c r="C101" s="294">
        <v>58692</v>
      </c>
      <c r="D101" s="294">
        <v>0</v>
      </c>
      <c r="E101" s="294">
        <v>11294</v>
      </c>
      <c r="F101" s="294">
        <v>0</v>
      </c>
      <c r="G101" s="294">
        <v>10237</v>
      </c>
      <c r="H101" s="294">
        <v>4236</v>
      </c>
      <c r="I101" s="294">
        <v>0</v>
      </c>
      <c r="J101" s="294">
        <v>84459</v>
      </c>
      <c r="K101" s="296">
        <v>0</v>
      </c>
      <c r="L101" s="294">
        <v>0</v>
      </c>
      <c r="M101" s="294">
        <v>0</v>
      </c>
      <c r="N101" s="294">
        <v>0</v>
      </c>
      <c r="O101" s="294">
        <v>0</v>
      </c>
      <c r="P101" s="296">
        <v>0</v>
      </c>
      <c r="Q101" s="294">
        <v>0</v>
      </c>
      <c r="R101" s="300">
        <v>0</v>
      </c>
      <c r="S101" s="297">
        <v>0</v>
      </c>
      <c r="T101" s="277">
        <v>0</v>
      </c>
      <c r="U101" s="277">
        <v>0</v>
      </c>
      <c r="V101" s="277">
        <v>0</v>
      </c>
      <c r="W101" s="277"/>
      <c r="X101" s="277"/>
      <c r="Y101" s="277"/>
      <c r="Z101" s="277"/>
    </row>
    <row r="102" spans="1:26" s="292" customFormat="1">
      <c r="A102" s="287" t="s">
        <v>524</v>
      </c>
      <c r="B102" s="288" t="s">
        <v>792</v>
      </c>
      <c r="C102" s="288">
        <v>1021674</v>
      </c>
      <c r="D102" s="288">
        <v>1001080</v>
      </c>
      <c r="E102" s="288">
        <v>771767</v>
      </c>
      <c r="F102" s="288"/>
      <c r="G102" s="288">
        <v>169557</v>
      </c>
      <c r="H102" s="288"/>
      <c r="I102" s="288"/>
      <c r="J102" s="288">
        <v>2964078</v>
      </c>
      <c r="K102" s="290"/>
      <c r="L102" s="288"/>
      <c r="M102" s="288"/>
      <c r="N102" s="288">
        <v>883605.5</v>
      </c>
      <c r="O102" s="288">
        <v>724721</v>
      </c>
      <c r="P102" s="290">
        <v>50054</v>
      </c>
      <c r="Q102" s="288">
        <v>1658380.5</v>
      </c>
      <c r="R102" s="299">
        <v>0</v>
      </c>
      <c r="S102" s="291">
        <v>0</v>
      </c>
      <c r="T102" s="277">
        <v>0</v>
      </c>
      <c r="U102" s="277"/>
      <c r="V102" s="277"/>
      <c r="W102" s="277"/>
      <c r="X102" s="277"/>
      <c r="Y102" s="277"/>
      <c r="Z102" s="277"/>
    </row>
    <row r="103" spans="1:26" s="292" customFormat="1">
      <c r="A103" s="293"/>
      <c r="B103" s="294" t="s">
        <v>793</v>
      </c>
      <c r="C103" s="294">
        <v>1032856</v>
      </c>
      <c r="D103" s="294">
        <v>986151</v>
      </c>
      <c r="E103" s="294">
        <v>769996</v>
      </c>
      <c r="F103" s="294"/>
      <c r="G103" s="294">
        <v>164451</v>
      </c>
      <c r="H103" s="294"/>
      <c r="I103" s="294"/>
      <c r="J103" s="294">
        <v>2953454</v>
      </c>
      <c r="K103" s="296"/>
      <c r="L103" s="294"/>
      <c r="M103" s="294"/>
      <c r="N103" s="294">
        <v>871296</v>
      </c>
      <c r="O103" s="294">
        <v>737823</v>
      </c>
      <c r="P103" s="296">
        <v>50263</v>
      </c>
      <c r="Q103" s="294">
        <v>1659382</v>
      </c>
      <c r="R103" s="300">
        <v>0</v>
      </c>
      <c r="S103" s="297">
        <v>0</v>
      </c>
      <c r="T103" s="277">
        <v>0</v>
      </c>
      <c r="U103" s="277"/>
      <c r="V103" s="277"/>
      <c r="W103" s="277"/>
      <c r="X103" s="277"/>
      <c r="Y103" s="277"/>
      <c r="Z103" s="277"/>
    </row>
    <row r="104" spans="1:26" s="292" customFormat="1">
      <c r="A104" s="293"/>
      <c r="B104" s="288" t="s">
        <v>794</v>
      </c>
      <c r="C104" s="288">
        <v>129116</v>
      </c>
      <c r="D104" s="288">
        <v>196240</v>
      </c>
      <c r="E104" s="288">
        <v>210318</v>
      </c>
      <c r="F104" s="288">
        <v>0</v>
      </c>
      <c r="G104" s="288">
        <v>22299</v>
      </c>
      <c r="H104" s="288">
        <v>0</v>
      </c>
      <c r="I104" s="288">
        <v>0</v>
      </c>
      <c r="J104" s="288">
        <v>557973</v>
      </c>
      <c r="K104" s="290">
        <v>0</v>
      </c>
      <c r="L104" s="288">
        <v>0</v>
      </c>
      <c r="M104" s="288">
        <v>0</v>
      </c>
      <c r="N104" s="288">
        <v>218851</v>
      </c>
      <c r="O104" s="288">
        <v>189308</v>
      </c>
      <c r="P104" s="290">
        <v>13115</v>
      </c>
      <c r="Q104" s="288">
        <v>421274</v>
      </c>
      <c r="R104" s="299">
        <v>0</v>
      </c>
      <c r="S104" s="291">
        <v>0</v>
      </c>
      <c r="T104" s="277">
        <v>0</v>
      </c>
      <c r="U104" s="277">
        <v>0</v>
      </c>
      <c r="V104" s="277">
        <v>0</v>
      </c>
      <c r="W104" s="277"/>
      <c r="X104" s="277"/>
      <c r="Y104" s="277"/>
      <c r="Z104" s="277"/>
    </row>
    <row r="105" spans="1:26" s="292" customFormat="1">
      <c r="A105" s="293"/>
      <c r="B105" s="294" t="s">
        <v>795</v>
      </c>
      <c r="C105" s="294">
        <v>141822</v>
      </c>
      <c r="D105" s="294">
        <v>197281</v>
      </c>
      <c r="E105" s="294">
        <v>214242</v>
      </c>
      <c r="F105" s="294">
        <v>0</v>
      </c>
      <c r="G105" s="294">
        <v>24874</v>
      </c>
      <c r="H105" s="294">
        <v>0</v>
      </c>
      <c r="I105" s="294">
        <v>0</v>
      </c>
      <c r="J105" s="294">
        <v>578219</v>
      </c>
      <c r="K105" s="296">
        <v>0</v>
      </c>
      <c r="L105" s="294">
        <v>0</v>
      </c>
      <c r="M105" s="294">
        <v>0</v>
      </c>
      <c r="N105" s="294">
        <v>226834</v>
      </c>
      <c r="O105" s="294">
        <v>202335</v>
      </c>
      <c r="P105" s="296">
        <v>13754</v>
      </c>
      <c r="Q105" s="294">
        <v>442923</v>
      </c>
      <c r="R105" s="300">
        <v>0</v>
      </c>
      <c r="S105" s="297">
        <v>0</v>
      </c>
      <c r="T105" s="277">
        <v>0</v>
      </c>
      <c r="U105" s="277">
        <v>0</v>
      </c>
      <c r="V105" s="277">
        <v>0</v>
      </c>
      <c r="W105" s="277"/>
      <c r="X105" s="277"/>
      <c r="Y105" s="277"/>
      <c r="Z105" s="277"/>
    </row>
    <row r="106" spans="1:26" s="292" customFormat="1">
      <c r="A106" s="293"/>
      <c r="B106" s="288" t="s">
        <v>796</v>
      </c>
      <c r="C106" s="288">
        <v>150260</v>
      </c>
      <c r="D106" s="288">
        <v>103243</v>
      </c>
      <c r="E106" s="288">
        <v>55282</v>
      </c>
      <c r="F106" s="288"/>
      <c r="G106" s="288">
        <v>6169</v>
      </c>
      <c r="H106" s="288"/>
      <c r="I106" s="288"/>
      <c r="J106" s="288">
        <v>314954</v>
      </c>
      <c r="K106" s="290"/>
      <c r="L106" s="288"/>
      <c r="M106" s="288"/>
      <c r="N106" s="288">
        <v>0</v>
      </c>
      <c r="O106" s="288">
        <v>0</v>
      </c>
      <c r="P106" s="290">
        <v>0</v>
      </c>
      <c r="Q106" s="288">
        <v>0</v>
      </c>
      <c r="R106" s="299">
        <v>0</v>
      </c>
      <c r="S106" s="291">
        <v>0</v>
      </c>
      <c r="T106" s="277">
        <v>0</v>
      </c>
      <c r="U106" s="277"/>
      <c r="V106" s="277"/>
      <c r="W106" s="277"/>
      <c r="X106" s="277"/>
      <c r="Y106" s="277"/>
      <c r="Z106" s="277"/>
    </row>
    <row r="107" spans="1:26" s="292" customFormat="1">
      <c r="A107" s="293"/>
      <c r="B107" s="294" t="s">
        <v>797</v>
      </c>
      <c r="C107" s="294">
        <v>149922</v>
      </c>
      <c r="D107" s="294">
        <v>103381</v>
      </c>
      <c r="E107" s="294">
        <v>56521</v>
      </c>
      <c r="F107" s="294"/>
      <c r="G107" s="294">
        <v>6757</v>
      </c>
      <c r="H107" s="294"/>
      <c r="I107" s="294"/>
      <c r="J107" s="294">
        <v>316581</v>
      </c>
      <c r="K107" s="296"/>
      <c r="L107" s="294"/>
      <c r="M107" s="294"/>
      <c r="N107" s="294">
        <v>0</v>
      </c>
      <c r="O107" s="294">
        <v>0</v>
      </c>
      <c r="P107" s="296">
        <v>0</v>
      </c>
      <c r="Q107" s="294">
        <v>0</v>
      </c>
      <c r="R107" s="300">
        <v>0</v>
      </c>
      <c r="S107" s="297">
        <v>0</v>
      </c>
      <c r="T107" s="277">
        <v>0</v>
      </c>
      <c r="U107" s="277"/>
      <c r="V107" s="277"/>
      <c r="W107" s="277"/>
      <c r="X107" s="277"/>
      <c r="Y107" s="277"/>
      <c r="Z107" s="277"/>
    </row>
    <row r="108" spans="1:26" s="292" customFormat="1">
      <c r="A108" s="293"/>
      <c r="B108" s="288" t="s">
        <v>798</v>
      </c>
      <c r="C108" s="288">
        <v>36500</v>
      </c>
      <c r="D108" s="288">
        <v>38421</v>
      </c>
      <c r="E108" s="288">
        <v>29143</v>
      </c>
      <c r="F108" s="288">
        <v>0</v>
      </c>
      <c r="G108" s="288">
        <v>5449</v>
      </c>
      <c r="H108" s="288">
        <v>0</v>
      </c>
      <c r="I108" s="288">
        <v>0</v>
      </c>
      <c r="J108" s="288">
        <v>109513</v>
      </c>
      <c r="K108" s="290">
        <v>0</v>
      </c>
      <c r="L108" s="288">
        <v>0</v>
      </c>
      <c r="M108" s="288">
        <v>0</v>
      </c>
      <c r="N108" s="288">
        <v>0</v>
      </c>
      <c r="O108" s="288">
        <v>0</v>
      </c>
      <c r="P108" s="290">
        <v>0</v>
      </c>
      <c r="Q108" s="288">
        <v>0</v>
      </c>
      <c r="R108" s="299">
        <v>0</v>
      </c>
      <c r="S108" s="291">
        <v>0</v>
      </c>
      <c r="T108" s="277">
        <v>0</v>
      </c>
      <c r="U108" s="277">
        <v>0</v>
      </c>
      <c r="V108" s="277">
        <v>0</v>
      </c>
      <c r="W108" s="277"/>
      <c r="X108" s="277"/>
      <c r="Y108" s="277"/>
      <c r="Z108" s="277"/>
    </row>
    <row r="109" spans="1:26" s="292" customFormat="1">
      <c r="A109" s="298"/>
      <c r="B109" s="294" t="s">
        <v>799</v>
      </c>
      <c r="C109" s="294">
        <v>38360</v>
      </c>
      <c r="D109" s="294">
        <v>37947</v>
      </c>
      <c r="E109" s="294">
        <v>30054</v>
      </c>
      <c r="F109" s="294">
        <v>0</v>
      </c>
      <c r="G109" s="294">
        <v>5877</v>
      </c>
      <c r="H109" s="294">
        <v>0</v>
      </c>
      <c r="I109" s="294">
        <v>0</v>
      </c>
      <c r="J109" s="294">
        <v>112238</v>
      </c>
      <c r="K109" s="296">
        <v>0</v>
      </c>
      <c r="L109" s="294">
        <v>0</v>
      </c>
      <c r="M109" s="294">
        <v>0</v>
      </c>
      <c r="N109" s="294">
        <v>0</v>
      </c>
      <c r="O109" s="294">
        <v>0</v>
      </c>
      <c r="P109" s="296">
        <v>0</v>
      </c>
      <c r="Q109" s="294">
        <v>0</v>
      </c>
      <c r="R109" s="300">
        <v>0</v>
      </c>
      <c r="S109" s="297">
        <v>0</v>
      </c>
      <c r="T109" s="277">
        <v>0</v>
      </c>
      <c r="U109" s="277">
        <v>0</v>
      </c>
      <c r="V109" s="277">
        <v>0</v>
      </c>
      <c r="W109" s="277"/>
      <c r="X109" s="277"/>
      <c r="Y109" s="277"/>
      <c r="Z109" s="277"/>
    </row>
    <row r="110" spans="1:26" s="292" customFormat="1">
      <c r="A110" s="287" t="s">
        <v>577</v>
      </c>
      <c r="B110" s="288" t="s">
        <v>792</v>
      </c>
      <c r="C110" s="288">
        <v>6557810</v>
      </c>
      <c r="D110" s="288">
        <v>1602629</v>
      </c>
      <c r="E110" s="288">
        <v>3937302</v>
      </c>
      <c r="F110" s="288">
        <v>145098</v>
      </c>
      <c r="G110" s="288">
        <v>425518</v>
      </c>
      <c r="H110" s="288"/>
      <c r="I110" s="288"/>
      <c r="J110" s="288">
        <v>12668357</v>
      </c>
      <c r="K110" s="290"/>
      <c r="L110" s="288"/>
      <c r="M110" s="288">
        <v>818747</v>
      </c>
      <c r="N110" s="288">
        <v>10046215</v>
      </c>
      <c r="O110" s="288">
        <v>2467845</v>
      </c>
      <c r="P110" s="290">
        <v>496580</v>
      </c>
      <c r="Q110" s="288">
        <v>13829387</v>
      </c>
      <c r="R110" s="299"/>
      <c r="S110" s="291"/>
      <c r="T110" s="277"/>
      <c r="U110" s="277"/>
      <c r="V110" s="277"/>
      <c r="W110" s="277"/>
      <c r="X110" s="277"/>
      <c r="Y110" s="277"/>
      <c r="Z110" s="277"/>
    </row>
    <row r="111" spans="1:26" s="292" customFormat="1">
      <c r="A111" s="293"/>
      <c r="B111" s="294" t="s">
        <v>793</v>
      </c>
      <c r="C111" s="294">
        <v>6791283</v>
      </c>
      <c r="D111" s="294">
        <v>1626698</v>
      </c>
      <c r="E111" s="294">
        <v>4052889</v>
      </c>
      <c r="F111" s="294">
        <v>149227</v>
      </c>
      <c r="G111" s="294">
        <v>447101</v>
      </c>
      <c r="H111" s="294"/>
      <c r="I111" s="294"/>
      <c r="J111" s="294">
        <v>13067198</v>
      </c>
      <c r="K111" s="296"/>
      <c r="L111" s="294"/>
      <c r="M111" s="294">
        <v>807871</v>
      </c>
      <c r="N111" s="294">
        <v>10052355</v>
      </c>
      <c r="O111" s="294">
        <v>2512243</v>
      </c>
      <c r="P111" s="296">
        <v>522054</v>
      </c>
      <c r="Q111" s="294">
        <v>13894523</v>
      </c>
      <c r="R111" s="300"/>
      <c r="S111" s="297"/>
      <c r="T111" s="277"/>
      <c r="U111" s="277"/>
      <c r="V111" s="277"/>
      <c r="W111" s="277"/>
      <c r="X111" s="277"/>
      <c r="Y111" s="277"/>
      <c r="Z111" s="277"/>
    </row>
    <row r="112" spans="1:26" s="292" customFormat="1">
      <c r="A112" s="293"/>
      <c r="B112" s="288" t="s">
        <v>794</v>
      </c>
      <c r="C112" s="288">
        <v>954149</v>
      </c>
      <c r="D112" s="288">
        <v>216433</v>
      </c>
      <c r="E112" s="288">
        <v>767980</v>
      </c>
      <c r="F112" s="288">
        <v>71542</v>
      </c>
      <c r="G112" s="288">
        <v>140878</v>
      </c>
      <c r="H112" s="288">
        <v>0</v>
      </c>
      <c r="I112" s="288">
        <v>0</v>
      </c>
      <c r="J112" s="288">
        <v>2150982</v>
      </c>
      <c r="K112" s="290">
        <v>0</v>
      </c>
      <c r="L112" s="288">
        <v>0</v>
      </c>
      <c r="M112" s="288">
        <v>191730</v>
      </c>
      <c r="N112" s="288">
        <v>2573472</v>
      </c>
      <c r="O112" s="288">
        <v>672756</v>
      </c>
      <c r="P112" s="290">
        <v>181609</v>
      </c>
      <c r="Q112" s="288">
        <v>3619567</v>
      </c>
      <c r="R112" s="299">
        <v>0</v>
      </c>
      <c r="S112" s="291">
        <v>0</v>
      </c>
      <c r="T112" s="277">
        <v>0</v>
      </c>
      <c r="U112" s="277">
        <v>0</v>
      </c>
      <c r="V112" s="277">
        <v>0</v>
      </c>
      <c r="W112" s="277"/>
      <c r="X112" s="277"/>
      <c r="Y112" s="277"/>
      <c r="Z112" s="277"/>
    </row>
    <row r="113" spans="1:26" s="292" customFormat="1">
      <c r="A113" s="293"/>
      <c r="B113" s="294" t="s">
        <v>795</v>
      </c>
      <c r="C113" s="294">
        <v>1100552</v>
      </c>
      <c r="D113" s="294">
        <v>229518</v>
      </c>
      <c r="E113" s="294">
        <v>909072</v>
      </c>
      <c r="F113" s="294">
        <v>77052</v>
      </c>
      <c r="G113" s="294">
        <v>166973</v>
      </c>
      <c r="H113" s="294">
        <v>0</v>
      </c>
      <c r="I113" s="294">
        <v>0</v>
      </c>
      <c r="J113" s="294">
        <v>2483167</v>
      </c>
      <c r="K113" s="296">
        <v>0</v>
      </c>
      <c r="L113" s="294">
        <v>0</v>
      </c>
      <c r="M113" s="294">
        <v>198249</v>
      </c>
      <c r="N113" s="294">
        <v>2751657</v>
      </c>
      <c r="O113" s="294">
        <v>727396</v>
      </c>
      <c r="P113" s="296">
        <v>190569</v>
      </c>
      <c r="Q113" s="294">
        <v>3867871</v>
      </c>
      <c r="R113" s="300">
        <v>0</v>
      </c>
      <c r="S113" s="297">
        <v>0</v>
      </c>
      <c r="T113" s="277">
        <v>0</v>
      </c>
      <c r="U113" s="277">
        <v>0</v>
      </c>
      <c r="V113" s="277">
        <v>0</v>
      </c>
      <c r="W113" s="277"/>
      <c r="X113" s="277"/>
      <c r="Y113" s="277"/>
      <c r="Z113" s="277"/>
    </row>
    <row r="114" spans="1:26" s="292" customFormat="1">
      <c r="A114" s="293"/>
      <c r="B114" s="288" t="s">
        <v>796</v>
      </c>
      <c r="C114" s="288">
        <v>1300226</v>
      </c>
      <c r="D114" s="288">
        <v>223574</v>
      </c>
      <c r="E114" s="288">
        <v>713226</v>
      </c>
      <c r="F114" s="288">
        <v>32426</v>
      </c>
      <c r="G114" s="288">
        <v>42315</v>
      </c>
      <c r="H114" s="288"/>
      <c r="I114" s="288"/>
      <c r="J114" s="288">
        <v>2311767</v>
      </c>
      <c r="K114" s="290"/>
      <c r="L114" s="288"/>
      <c r="M114" s="288">
        <v>97</v>
      </c>
      <c r="N114" s="288">
        <v>0</v>
      </c>
      <c r="O114" s="288">
        <v>0</v>
      </c>
      <c r="P114" s="290">
        <v>14751</v>
      </c>
      <c r="Q114" s="288">
        <v>14848</v>
      </c>
      <c r="R114" s="299"/>
      <c r="S114" s="291"/>
      <c r="T114" s="277"/>
      <c r="U114" s="277"/>
      <c r="V114" s="277"/>
      <c r="W114" s="277"/>
      <c r="X114" s="277"/>
      <c r="Y114" s="277"/>
      <c r="Z114" s="277"/>
    </row>
    <row r="115" spans="1:26" s="292" customFormat="1">
      <c r="A115" s="293"/>
      <c r="B115" s="294" t="s">
        <v>797</v>
      </c>
      <c r="C115" s="294">
        <v>1310839</v>
      </c>
      <c r="D115" s="294">
        <v>227286</v>
      </c>
      <c r="E115" s="294">
        <v>691909</v>
      </c>
      <c r="F115" s="294">
        <v>34230</v>
      </c>
      <c r="G115" s="294">
        <v>47878</v>
      </c>
      <c r="H115" s="294"/>
      <c r="I115" s="294"/>
      <c r="J115" s="294">
        <v>2312142</v>
      </c>
      <c r="K115" s="296"/>
      <c r="L115" s="294"/>
      <c r="M115" s="294">
        <v>0</v>
      </c>
      <c r="N115" s="294">
        <v>0</v>
      </c>
      <c r="O115" s="294">
        <v>0</v>
      </c>
      <c r="P115" s="296">
        <v>16175</v>
      </c>
      <c r="Q115" s="294">
        <v>16175</v>
      </c>
      <c r="R115" s="300"/>
      <c r="S115" s="297"/>
      <c r="T115" s="277"/>
      <c r="U115" s="277"/>
      <c r="V115" s="277"/>
      <c r="W115" s="277"/>
      <c r="X115" s="277"/>
      <c r="Y115" s="277"/>
      <c r="Z115" s="277"/>
    </row>
    <row r="116" spans="1:26" s="292" customFormat="1">
      <c r="A116" s="293"/>
      <c r="B116" s="288" t="s">
        <v>798</v>
      </c>
      <c r="C116" s="288">
        <v>225246</v>
      </c>
      <c r="D116" s="288">
        <v>77760</v>
      </c>
      <c r="E116" s="288">
        <v>385525</v>
      </c>
      <c r="F116" s="288">
        <v>24038</v>
      </c>
      <c r="G116" s="288">
        <v>25872</v>
      </c>
      <c r="H116" s="288">
        <v>0</v>
      </c>
      <c r="I116" s="288">
        <v>0</v>
      </c>
      <c r="J116" s="288">
        <v>738441</v>
      </c>
      <c r="K116" s="290">
        <v>0</v>
      </c>
      <c r="L116" s="288">
        <v>0</v>
      </c>
      <c r="M116" s="288">
        <v>0</v>
      </c>
      <c r="N116" s="288">
        <v>0</v>
      </c>
      <c r="O116" s="288">
        <v>0</v>
      </c>
      <c r="P116" s="290">
        <v>4118</v>
      </c>
      <c r="Q116" s="288">
        <v>4118</v>
      </c>
      <c r="R116" s="299">
        <v>0</v>
      </c>
      <c r="S116" s="291">
        <v>0</v>
      </c>
      <c r="T116" s="277">
        <v>0</v>
      </c>
      <c r="U116" s="277">
        <v>0</v>
      </c>
      <c r="V116" s="277">
        <v>0</v>
      </c>
      <c r="W116" s="277"/>
      <c r="X116" s="277"/>
      <c r="Y116" s="277"/>
      <c r="Z116" s="277"/>
    </row>
    <row r="117" spans="1:26" s="292" customFormat="1">
      <c r="A117" s="298"/>
      <c r="B117" s="294" t="s">
        <v>799</v>
      </c>
      <c r="C117" s="294">
        <v>268632</v>
      </c>
      <c r="D117" s="294">
        <v>84347</v>
      </c>
      <c r="E117" s="294">
        <v>424867</v>
      </c>
      <c r="F117" s="294">
        <v>24747</v>
      </c>
      <c r="G117" s="294">
        <v>36271</v>
      </c>
      <c r="H117" s="294">
        <v>0</v>
      </c>
      <c r="I117" s="294">
        <v>0</v>
      </c>
      <c r="J117" s="294">
        <v>838864</v>
      </c>
      <c r="K117" s="296">
        <v>0</v>
      </c>
      <c r="L117" s="294">
        <v>0</v>
      </c>
      <c r="M117" s="294">
        <v>0</v>
      </c>
      <c r="N117" s="294">
        <v>0</v>
      </c>
      <c r="O117" s="294">
        <v>0</v>
      </c>
      <c r="P117" s="296">
        <v>4109</v>
      </c>
      <c r="Q117" s="294">
        <v>4109</v>
      </c>
      <c r="R117" s="300">
        <v>0</v>
      </c>
      <c r="S117" s="297">
        <v>0</v>
      </c>
      <c r="T117" s="277">
        <v>0</v>
      </c>
      <c r="U117" s="277">
        <v>0</v>
      </c>
      <c r="V117" s="277">
        <v>0</v>
      </c>
      <c r="W117" s="277"/>
      <c r="X117" s="277"/>
      <c r="Y117" s="277"/>
      <c r="Z117" s="277"/>
    </row>
    <row r="118" spans="1:26" s="292" customFormat="1">
      <c r="A118" s="287" t="s">
        <v>692</v>
      </c>
      <c r="B118" s="288" t="s">
        <v>792</v>
      </c>
      <c r="C118" s="288">
        <v>3135643.5</v>
      </c>
      <c r="D118" s="288">
        <v>186363.6</v>
      </c>
      <c r="E118" s="288">
        <v>1343384.4</v>
      </c>
      <c r="F118" s="288"/>
      <c r="G118" s="288">
        <v>145990</v>
      </c>
      <c r="H118" s="288">
        <v>49831</v>
      </c>
      <c r="I118" s="288"/>
      <c r="J118" s="288">
        <v>4861212.5</v>
      </c>
      <c r="K118" s="290"/>
      <c r="L118" s="288"/>
      <c r="M118" s="288"/>
      <c r="N118" s="288">
        <v>2041798.5</v>
      </c>
      <c r="O118" s="288">
        <v>850570</v>
      </c>
      <c r="P118" s="290">
        <v>412438</v>
      </c>
      <c r="Q118" s="288">
        <v>3304806.5</v>
      </c>
      <c r="R118" s="299"/>
      <c r="S118" s="291"/>
      <c r="T118" s="277"/>
      <c r="U118" s="277"/>
      <c r="V118" s="277"/>
      <c r="W118" s="277"/>
      <c r="X118" s="277"/>
      <c r="Y118" s="277"/>
      <c r="Z118" s="277"/>
    </row>
    <row r="119" spans="1:26" s="292" customFormat="1">
      <c r="A119" s="293"/>
      <c r="B119" s="294" t="s">
        <v>793</v>
      </c>
      <c r="C119" s="294">
        <v>3178344.5</v>
      </c>
      <c r="D119" s="294">
        <v>186460.5</v>
      </c>
      <c r="E119" s="294">
        <v>1342365.1</v>
      </c>
      <c r="F119" s="294"/>
      <c r="G119" s="294">
        <v>144046</v>
      </c>
      <c r="H119" s="294">
        <v>47928</v>
      </c>
      <c r="I119" s="294"/>
      <c r="J119" s="294">
        <v>4899144.0999999996</v>
      </c>
      <c r="K119" s="296"/>
      <c r="L119" s="294"/>
      <c r="M119" s="294"/>
      <c r="N119" s="294">
        <v>1949172</v>
      </c>
      <c r="O119" s="294">
        <v>811496</v>
      </c>
      <c r="P119" s="296">
        <v>391780</v>
      </c>
      <c r="Q119" s="294">
        <v>3152448</v>
      </c>
      <c r="R119" s="300"/>
      <c r="S119" s="297"/>
      <c r="T119" s="277"/>
      <c r="U119" s="277"/>
      <c r="V119" s="277"/>
      <c r="W119" s="277"/>
      <c r="X119" s="277"/>
      <c r="Y119" s="277"/>
      <c r="Z119" s="277"/>
    </row>
    <row r="120" spans="1:26" s="292" customFormat="1">
      <c r="A120" s="293"/>
      <c r="B120" s="288" t="s">
        <v>794</v>
      </c>
      <c r="C120" s="288">
        <v>267786</v>
      </c>
      <c r="D120" s="288">
        <v>451</v>
      </c>
      <c r="E120" s="288">
        <v>96476</v>
      </c>
      <c r="F120" s="288">
        <v>0</v>
      </c>
      <c r="G120" s="288">
        <v>0</v>
      </c>
      <c r="H120" s="288">
        <v>9810</v>
      </c>
      <c r="I120" s="288">
        <v>0</v>
      </c>
      <c r="J120" s="288">
        <v>374523</v>
      </c>
      <c r="K120" s="290">
        <v>0</v>
      </c>
      <c r="L120" s="288">
        <v>0</v>
      </c>
      <c r="M120" s="288">
        <v>0</v>
      </c>
      <c r="N120" s="288">
        <v>564781</v>
      </c>
      <c r="O120" s="288">
        <v>250461</v>
      </c>
      <c r="P120" s="290">
        <v>158413</v>
      </c>
      <c r="Q120" s="288">
        <v>973655</v>
      </c>
      <c r="R120" s="299">
        <v>0</v>
      </c>
      <c r="S120" s="291">
        <v>0</v>
      </c>
      <c r="T120" s="277">
        <v>0</v>
      </c>
      <c r="U120" s="277">
        <v>0</v>
      </c>
      <c r="V120" s="277">
        <v>0</v>
      </c>
      <c r="W120" s="277"/>
      <c r="X120" s="277"/>
      <c r="Y120" s="277"/>
      <c r="Z120" s="277"/>
    </row>
    <row r="121" spans="1:26" s="292" customFormat="1">
      <c r="A121" s="293"/>
      <c r="B121" s="294" t="s">
        <v>795</v>
      </c>
      <c r="C121" s="294">
        <v>302166</v>
      </c>
      <c r="D121" s="294">
        <v>651</v>
      </c>
      <c r="E121" s="294">
        <v>113881</v>
      </c>
      <c r="F121" s="294">
        <v>0</v>
      </c>
      <c r="G121" s="294">
        <v>0</v>
      </c>
      <c r="H121" s="294">
        <v>10839</v>
      </c>
      <c r="I121" s="294">
        <v>0</v>
      </c>
      <c r="J121" s="294">
        <v>427537</v>
      </c>
      <c r="K121" s="296">
        <v>0</v>
      </c>
      <c r="L121" s="294">
        <v>0</v>
      </c>
      <c r="M121" s="294">
        <v>0</v>
      </c>
      <c r="N121" s="294">
        <v>543540</v>
      </c>
      <c r="O121" s="294">
        <v>245499</v>
      </c>
      <c r="P121" s="296">
        <v>154200</v>
      </c>
      <c r="Q121" s="294">
        <v>943239</v>
      </c>
      <c r="R121" s="300">
        <v>0</v>
      </c>
      <c r="S121" s="297">
        <v>0</v>
      </c>
      <c r="T121" s="277">
        <v>0</v>
      </c>
      <c r="U121" s="277">
        <v>0</v>
      </c>
      <c r="V121" s="277">
        <v>0</v>
      </c>
      <c r="W121" s="277"/>
      <c r="X121" s="277"/>
      <c r="Y121" s="277"/>
      <c r="Z121" s="277"/>
    </row>
    <row r="122" spans="1:26" s="292" customFormat="1">
      <c r="A122" s="293"/>
      <c r="B122" s="288" t="s">
        <v>796</v>
      </c>
      <c r="C122" s="288">
        <v>693893.3</v>
      </c>
      <c r="D122" s="288">
        <v>57893</v>
      </c>
      <c r="E122" s="288">
        <v>86825</v>
      </c>
      <c r="F122" s="288"/>
      <c r="G122" s="288">
        <v>3280</v>
      </c>
      <c r="H122" s="288">
        <v>0</v>
      </c>
      <c r="I122" s="288"/>
      <c r="J122" s="288">
        <v>841891.3</v>
      </c>
      <c r="K122" s="290"/>
      <c r="L122" s="288"/>
      <c r="M122" s="288"/>
      <c r="N122" s="288">
        <v>0</v>
      </c>
      <c r="O122" s="288">
        <v>0</v>
      </c>
      <c r="P122" s="290">
        <v>0</v>
      </c>
      <c r="Q122" s="288">
        <v>0</v>
      </c>
      <c r="R122" s="299"/>
      <c r="S122" s="291"/>
      <c r="T122" s="277"/>
      <c r="U122" s="277"/>
      <c r="V122" s="277"/>
      <c r="W122" s="277"/>
      <c r="X122" s="277"/>
      <c r="Y122" s="277"/>
      <c r="Z122" s="277"/>
    </row>
    <row r="123" spans="1:26" s="292" customFormat="1">
      <c r="A123" s="293"/>
      <c r="B123" s="294" t="s">
        <v>797</v>
      </c>
      <c r="C123" s="294">
        <v>706973</v>
      </c>
      <c r="D123" s="294">
        <v>61157.5</v>
      </c>
      <c r="E123" s="294">
        <v>90507</v>
      </c>
      <c r="F123" s="294"/>
      <c r="G123" s="294">
        <v>3412</v>
      </c>
      <c r="H123" s="294">
        <v>0</v>
      </c>
      <c r="I123" s="294"/>
      <c r="J123" s="294">
        <v>862049.5</v>
      </c>
      <c r="K123" s="296"/>
      <c r="L123" s="294"/>
      <c r="M123" s="294"/>
      <c r="N123" s="294">
        <v>0</v>
      </c>
      <c r="O123" s="294">
        <v>0</v>
      </c>
      <c r="P123" s="296">
        <v>0</v>
      </c>
      <c r="Q123" s="294">
        <v>0</v>
      </c>
      <c r="R123" s="300"/>
      <c r="S123" s="297"/>
      <c r="T123" s="277"/>
      <c r="U123" s="277"/>
      <c r="V123" s="277"/>
      <c r="W123" s="277"/>
      <c r="X123" s="277"/>
      <c r="Y123" s="277"/>
      <c r="Z123" s="277"/>
    </row>
    <row r="124" spans="1:26" s="292" customFormat="1">
      <c r="A124" s="293"/>
      <c r="B124" s="288" t="s">
        <v>798</v>
      </c>
      <c r="C124" s="288">
        <v>86700</v>
      </c>
      <c r="D124" s="288">
        <v>2408</v>
      </c>
      <c r="E124" s="288">
        <v>16868.400000000001</v>
      </c>
      <c r="F124" s="288">
        <v>0</v>
      </c>
      <c r="G124" s="288">
        <v>0</v>
      </c>
      <c r="H124" s="288">
        <v>0</v>
      </c>
      <c r="I124" s="288">
        <v>0</v>
      </c>
      <c r="J124" s="288">
        <v>105976.4</v>
      </c>
      <c r="K124" s="290">
        <v>0</v>
      </c>
      <c r="L124" s="288">
        <v>0</v>
      </c>
      <c r="M124" s="288">
        <v>0</v>
      </c>
      <c r="N124" s="288">
        <v>0</v>
      </c>
      <c r="O124" s="288">
        <v>0</v>
      </c>
      <c r="P124" s="290">
        <v>0</v>
      </c>
      <c r="Q124" s="288">
        <v>0</v>
      </c>
      <c r="R124" s="299">
        <v>0</v>
      </c>
      <c r="S124" s="291">
        <v>0</v>
      </c>
      <c r="T124" s="277">
        <v>0</v>
      </c>
      <c r="U124" s="277">
        <v>0</v>
      </c>
      <c r="V124" s="277">
        <v>0</v>
      </c>
      <c r="W124" s="277"/>
      <c r="X124" s="277"/>
      <c r="Y124" s="277"/>
      <c r="Z124" s="277"/>
    </row>
    <row r="125" spans="1:26" s="292" customFormat="1">
      <c r="A125" s="298"/>
      <c r="B125" s="294" t="s">
        <v>799</v>
      </c>
      <c r="C125" s="294">
        <v>98658.5</v>
      </c>
      <c r="D125" s="294">
        <v>5751</v>
      </c>
      <c r="E125" s="294">
        <v>20562.8</v>
      </c>
      <c r="F125" s="294">
        <v>0</v>
      </c>
      <c r="G125" s="294">
        <v>0</v>
      </c>
      <c r="H125" s="294">
        <v>0</v>
      </c>
      <c r="I125" s="294">
        <v>0</v>
      </c>
      <c r="J125" s="294">
        <v>124972.3</v>
      </c>
      <c r="K125" s="296">
        <v>0</v>
      </c>
      <c r="L125" s="294">
        <v>0</v>
      </c>
      <c r="M125" s="294">
        <v>0</v>
      </c>
      <c r="N125" s="294">
        <v>0</v>
      </c>
      <c r="O125" s="294">
        <v>0</v>
      </c>
      <c r="P125" s="296">
        <v>0</v>
      </c>
      <c r="Q125" s="294">
        <v>0</v>
      </c>
      <c r="R125" s="300">
        <v>0</v>
      </c>
      <c r="S125" s="297">
        <v>0</v>
      </c>
      <c r="T125" s="277">
        <v>0</v>
      </c>
      <c r="U125" s="277">
        <v>0</v>
      </c>
      <c r="V125" s="277">
        <v>0</v>
      </c>
      <c r="W125" s="277"/>
      <c r="X125" s="277"/>
      <c r="Y125" s="277"/>
      <c r="Z125" s="277"/>
    </row>
    <row r="126" spans="1:26" s="292" customFormat="1">
      <c r="A126" s="287" t="s">
        <v>733</v>
      </c>
      <c r="B126" s="288" t="s">
        <v>792</v>
      </c>
      <c r="C126" s="288">
        <v>650502</v>
      </c>
      <c r="D126" s="288"/>
      <c r="E126" s="288">
        <v>264382</v>
      </c>
      <c r="F126" s="288"/>
      <c r="G126" s="288">
        <v>317332</v>
      </c>
      <c r="H126" s="288">
        <v>172060</v>
      </c>
      <c r="I126" s="288">
        <v>0</v>
      </c>
      <c r="J126" s="288">
        <v>1404276</v>
      </c>
      <c r="K126" s="290">
        <v>0</v>
      </c>
      <c r="L126" s="288">
        <v>0</v>
      </c>
      <c r="M126" s="288">
        <v>92497</v>
      </c>
      <c r="N126" s="288"/>
      <c r="O126" s="288"/>
      <c r="P126" s="290">
        <v>311555</v>
      </c>
      <c r="Q126" s="288">
        <v>404052</v>
      </c>
      <c r="R126" s="299"/>
      <c r="S126" s="291"/>
      <c r="T126" s="277"/>
      <c r="U126" s="277"/>
      <c r="V126" s="277"/>
      <c r="W126" s="277"/>
      <c r="X126" s="277"/>
      <c r="Y126" s="277"/>
      <c r="Z126" s="277"/>
    </row>
    <row r="127" spans="1:26" s="292" customFormat="1">
      <c r="A127" s="293"/>
      <c r="B127" s="294" t="s">
        <v>793</v>
      </c>
      <c r="C127" s="294">
        <v>652521</v>
      </c>
      <c r="D127" s="294"/>
      <c r="E127" s="294">
        <v>261348</v>
      </c>
      <c r="F127" s="294"/>
      <c r="G127" s="294">
        <v>304438</v>
      </c>
      <c r="H127" s="294">
        <v>177089</v>
      </c>
      <c r="I127" s="294">
        <v>0</v>
      </c>
      <c r="J127" s="294">
        <v>1395396</v>
      </c>
      <c r="K127" s="296">
        <v>0</v>
      </c>
      <c r="L127" s="294">
        <v>0</v>
      </c>
      <c r="M127" s="294">
        <v>91128</v>
      </c>
      <c r="N127" s="294"/>
      <c r="O127" s="294"/>
      <c r="P127" s="296">
        <v>292771</v>
      </c>
      <c r="Q127" s="294">
        <v>383899</v>
      </c>
      <c r="R127" s="300"/>
      <c r="S127" s="297"/>
      <c r="T127" s="277"/>
      <c r="U127" s="277"/>
      <c r="V127" s="277"/>
      <c r="W127" s="277"/>
      <c r="X127" s="277"/>
      <c r="Y127" s="277"/>
      <c r="Z127" s="277"/>
    </row>
    <row r="128" spans="1:26" s="292" customFormat="1">
      <c r="A128" s="293"/>
      <c r="B128" s="288" t="s">
        <v>794</v>
      </c>
      <c r="C128" s="288">
        <v>68747</v>
      </c>
      <c r="D128" s="288">
        <v>0</v>
      </c>
      <c r="E128" s="288">
        <v>38528</v>
      </c>
      <c r="F128" s="288">
        <v>0</v>
      </c>
      <c r="G128" s="288">
        <v>43906</v>
      </c>
      <c r="H128" s="288">
        <v>41678</v>
      </c>
      <c r="I128" s="288">
        <v>0</v>
      </c>
      <c r="J128" s="288">
        <v>192859</v>
      </c>
      <c r="K128" s="290">
        <v>0</v>
      </c>
      <c r="L128" s="288">
        <v>0</v>
      </c>
      <c r="M128" s="288">
        <v>21018</v>
      </c>
      <c r="N128" s="288">
        <v>0</v>
      </c>
      <c r="O128" s="288">
        <v>0</v>
      </c>
      <c r="P128" s="290">
        <v>83485</v>
      </c>
      <c r="Q128" s="288">
        <v>104503</v>
      </c>
      <c r="R128" s="299">
        <v>0</v>
      </c>
      <c r="S128" s="291">
        <v>0</v>
      </c>
      <c r="T128" s="277">
        <v>0</v>
      </c>
      <c r="U128" s="277">
        <v>0</v>
      </c>
      <c r="V128" s="277">
        <v>0</v>
      </c>
      <c r="W128" s="277"/>
      <c r="X128" s="277"/>
      <c r="Y128" s="277"/>
      <c r="Z128" s="277"/>
    </row>
    <row r="129" spans="1:26" s="292" customFormat="1">
      <c r="A129" s="293"/>
      <c r="B129" s="294" t="s">
        <v>795</v>
      </c>
      <c r="C129" s="294">
        <v>75292</v>
      </c>
      <c r="D129" s="294">
        <v>0</v>
      </c>
      <c r="E129" s="294">
        <v>43751</v>
      </c>
      <c r="F129" s="294">
        <v>0</v>
      </c>
      <c r="G129" s="294">
        <v>40246</v>
      </c>
      <c r="H129" s="294">
        <v>45336</v>
      </c>
      <c r="I129" s="294">
        <v>0</v>
      </c>
      <c r="J129" s="294">
        <v>204625</v>
      </c>
      <c r="K129" s="296">
        <v>0</v>
      </c>
      <c r="L129" s="294">
        <v>0</v>
      </c>
      <c r="M129" s="294">
        <v>23034</v>
      </c>
      <c r="N129" s="294">
        <v>0</v>
      </c>
      <c r="O129" s="294">
        <v>0</v>
      </c>
      <c r="P129" s="296">
        <v>81466</v>
      </c>
      <c r="Q129" s="294">
        <v>104500</v>
      </c>
      <c r="R129" s="300">
        <v>0</v>
      </c>
      <c r="S129" s="297">
        <v>0</v>
      </c>
      <c r="T129" s="277">
        <v>0</v>
      </c>
      <c r="U129" s="277">
        <v>0</v>
      </c>
      <c r="V129" s="277">
        <v>0</v>
      </c>
      <c r="W129" s="277"/>
      <c r="X129" s="277"/>
      <c r="Y129" s="277"/>
      <c r="Z129" s="277"/>
    </row>
    <row r="130" spans="1:26" s="292" customFormat="1">
      <c r="A130" s="293"/>
      <c r="B130" s="288" t="s">
        <v>796</v>
      </c>
      <c r="C130" s="288">
        <v>94979</v>
      </c>
      <c r="D130" s="288"/>
      <c r="E130" s="288">
        <v>70208</v>
      </c>
      <c r="F130" s="288"/>
      <c r="G130" s="288">
        <v>19948</v>
      </c>
      <c r="H130" s="288">
        <v>1265</v>
      </c>
      <c r="I130" s="288">
        <v>0</v>
      </c>
      <c r="J130" s="288">
        <v>186400</v>
      </c>
      <c r="K130" s="290">
        <v>0</v>
      </c>
      <c r="L130" s="288">
        <v>0</v>
      </c>
      <c r="M130" s="288">
        <v>0</v>
      </c>
      <c r="N130" s="288"/>
      <c r="O130" s="288"/>
      <c r="P130" s="290">
        <v>0</v>
      </c>
      <c r="Q130" s="288">
        <v>0</v>
      </c>
      <c r="R130" s="299"/>
      <c r="S130" s="291"/>
      <c r="T130" s="277"/>
      <c r="U130" s="277"/>
      <c r="V130" s="277"/>
      <c r="W130" s="277"/>
      <c r="X130" s="277"/>
      <c r="Y130" s="277"/>
      <c r="Z130" s="277"/>
    </row>
    <row r="131" spans="1:26" s="292" customFormat="1">
      <c r="A131" s="293"/>
      <c r="B131" s="294" t="s">
        <v>797</v>
      </c>
      <c r="C131" s="294">
        <v>91119</v>
      </c>
      <c r="D131" s="294"/>
      <c r="E131" s="294">
        <v>69223</v>
      </c>
      <c r="F131" s="294"/>
      <c r="G131" s="294">
        <v>21942</v>
      </c>
      <c r="H131" s="294">
        <v>1887</v>
      </c>
      <c r="I131" s="294">
        <v>0</v>
      </c>
      <c r="J131" s="294">
        <v>184171</v>
      </c>
      <c r="K131" s="296">
        <v>0</v>
      </c>
      <c r="L131" s="294">
        <v>0</v>
      </c>
      <c r="M131" s="294">
        <v>0</v>
      </c>
      <c r="N131" s="294"/>
      <c r="O131" s="294"/>
      <c r="P131" s="296">
        <v>0</v>
      </c>
      <c r="Q131" s="294">
        <v>0</v>
      </c>
      <c r="R131" s="300"/>
      <c r="S131" s="297"/>
      <c r="T131" s="277"/>
      <c r="U131" s="277"/>
      <c r="V131" s="277"/>
      <c r="W131" s="277"/>
      <c r="X131" s="277"/>
      <c r="Y131" s="277"/>
      <c r="Z131" s="277"/>
    </row>
    <row r="132" spans="1:26" s="292" customFormat="1">
      <c r="A132" s="293"/>
      <c r="B132" s="288" t="s">
        <v>798</v>
      </c>
      <c r="C132" s="288">
        <v>29020</v>
      </c>
      <c r="D132" s="288">
        <v>0</v>
      </c>
      <c r="E132" s="288">
        <v>15885</v>
      </c>
      <c r="F132" s="288">
        <v>0</v>
      </c>
      <c r="G132" s="288">
        <v>10522</v>
      </c>
      <c r="H132" s="288">
        <v>312</v>
      </c>
      <c r="I132" s="288">
        <v>0</v>
      </c>
      <c r="J132" s="288">
        <v>55739</v>
      </c>
      <c r="K132" s="290">
        <v>0</v>
      </c>
      <c r="L132" s="288">
        <v>0</v>
      </c>
      <c r="M132" s="288">
        <v>0</v>
      </c>
      <c r="N132" s="288">
        <v>0</v>
      </c>
      <c r="O132" s="288">
        <v>0</v>
      </c>
      <c r="P132" s="290">
        <v>0</v>
      </c>
      <c r="Q132" s="288">
        <v>0</v>
      </c>
      <c r="R132" s="299">
        <v>0</v>
      </c>
      <c r="S132" s="291">
        <v>0</v>
      </c>
      <c r="T132" s="277">
        <v>0</v>
      </c>
      <c r="U132" s="277">
        <v>0</v>
      </c>
      <c r="V132" s="277">
        <v>0</v>
      </c>
      <c r="W132" s="277"/>
      <c r="X132" s="277"/>
      <c r="Y132" s="277"/>
      <c r="Z132" s="277"/>
    </row>
    <row r="133" spans="1:26" s="292" customFormat="1">
      <c r="A133" s="298"/>
      <c r="B133" s="294" t="s">
        <v>799</v>
      </c>
      <c r="C133" s="294">
        <v>26755</v>
      </c>
      <c r="D133" s="294">
        <v>0</v>
      </c>
      <c r="E133" s="294">
        <v>16372</v>
      </c>
      <c r="F133" s="294">
        <v>0</v>
      </c>
      <c r="G133" s="294">
        <v>10678</v>
      </c>
      <c r="H133" s="294">
        <v>507</v>
      </c>
      <c r="I133" s="294">
        <v>0</v>
      </c>
      <c r="J133" s="294">
        <v>54312</v>
      </c>
      <c r="K133" s="296">
        <v>0</v>
      </c>
      <c r="L133" s="294">
        <v>0</v>
      </c>
      <c r="M133" s="294">
        <v>0</v>
      </c>
      <c r="N133" s="294">
        <v>0</v>
      </c>
      <c r="O133" s="294">
        <v>0</v>
      </c>
      <c r="P133" s="296">
        <v>0</v>
      </c>
      <c r="Q133" s="294">
        <v>0</v>
      </c>
      <c r="R133" s="300">
        <v>0</v>
      </c>
      <c r="S133" s="297">
        <v>0</v>
      </c>
      <c r="T133" s="277">
        <v>0</v>
      </c>
      <c r="U133" s="277">
        <v>0</v>
      </c>
      <c r="V133" s="277">
        <v>0</v>
      </c>
      <c r="W133" s="277"/>
      <c r="X133" s="277"/>
      <c r="Y133" s="277"/>
      <c r="Z133" s="277"/>
    </row>
    <row r="134" spans="1:26" s="292" customFormat="1">
      <c r="B134" s="303"/>
      <c r="P134" s="304"/>
      <c r="S134" s="305"/>
      <c r="T134" s="305"/>
      <c r="U134" s="305"/>
      <c r="V134" s="305"/>
    </row>
    <row r="135" spans="1:26" s="292" customFormat="1">
      <c r="S135" s="305"/>
      <c r="T135" s="305"/>
      <c r="U135" s="305"/>
      <c r="V135" s="305"/>
    </row>
    <row r="136" spans="1:26" s="292" customFormat="1">
      <c r="S136" s="305"/>
      <c r="T136" s="305"/>
      <c r="U136" s="305"/>
      <c r="V136" s="305"/>
    </row>
    <row r="137" spans="1:26" s="292" customFormat="1">
      <c r="B137" s="303"/>
      <c r="P137" s="304"/>
      <c r="S137" s="305"/>
      <c r="T137" s="305"/>
      <c r="U137" s="305"/>
      <c r="V137" s="305"/>
    </row>
    <row r="138" spans="1:26" s="292" customFormat="1">
      <c r="S138" s="305"/>
      <c r="T138" s="305"/>
      <c r="U138" s="305"/>
      <c r="V138" s="305"/>
    </row>
    <row r="139" spans="1:26" s="292" customFormat="1">
      <c r="S139" s="305"/>
      <c r="T139" s="305"/>
      <c r="U139" s="305"/>
      <c r="V139" s="305"/>
    </row>
    <row r="140" spans="1:26" s="292" customFormat="1">
      <c r="B140" s="303"/>
      <c r="P140" s="304"/>
      <c r="S140" s="305"/>
      <c r="T140" s="305"/>
      <c r="U140" s="305"/>
      <c r="V140" s="305"/>
    </row>
    <row r="141" spans="1:26" s="292" customFormat="1">
      <c r="S141" s="305"/>
      <c r="T141" s="305"/>
      <c r="U141" s="305"/>
      <c r="V141" s="305"/>
    </row>
    <row r="142" spans="1:26" s="292" customFormat="1">
      <c r="S142" s="305"/>
      <c r="T142" s="305"/>
      <c r="U142" s="305"/>
      <c r="V142" s="305"/>
    </row>
    <row r="143" spans="1:26" s="292" customFormat="1">
      <c r="B143" s="303"/>
      <c r="P143" s="304"/>
      <c r="S143" s="305"/>
      <c r="T143" s="305"/>
      <c r="U143" s="305"/>
      <c r="V143" s="305"/>
    </row>
    <row r="144" spans="1:26" s="292" customFormat="1">
      <c r="S144" s="305"/>
      <c r="T144" s="305"/>
      <c r="U144" s="305"/>
      <c r="V144" s="305"/>
    </row>
    <row r="145" spans="2:22" s="292" customFormat="1">
      <c r="S145" s="305"/>
      <c r="T145" s="305"/>
      <c r="U145" s="305"/>
      <c r="V145" s="305"/>
    </row>
    <row r="146" spans="2:22" s="292" customFormat="1">
      <c r="B146" s="303"/>
      <c r="P146" s="304"/>
      <c r="S146" s="305"/>
      <c r="T146" s="305"/>
      <c r="U146" s="305"/>
      <c r="V146" s="305"/>
    </row>
    <row r="147" spans="2:22" s="292" customFormat="1">
      <c r="S147" s="305"/>
      <c r="T147" s="305"/>
      <c r="U147" s="305"/>
      <c r="V147" s="305"/>
    </row>
    <row r="148" spans="2:22" s="292" customFormat="1">
      <c r="S148" s="305"/>
      <c r="T148" s="305"/>
      <c r="U148" s="305"/>
      <c r="V148" s="305"/>
    </row>
    <row r="149" spans="2:22" s="292" customFormat="1">
      <c r="B149" s="303"/>
      <c r="P149" s="304"/>
      <c r="S149" s="305"/>
      <c r="T149" s="305"/>
      <c r="U149" s="305"/>
      <c r="V149" s="305"/>
    </row>
    <row r="150" spans="2:22" s="292" customFormat="1">
      <c r="S150" s="305"/>
      <c r="T150" s="305"/>
      <c r="U150" s="305"/>
      <c r="V150" s="305"/>
    </row>
    <row r="151" spans="2:22" s="292" customFormat="1">
      <c r="S151" s="305"/>
      <c r="T151" s="305"/>
      <c r="U151" s="305"/>
      <c r="V151" s="305"/>
    </row>
    <row r="152" spans="2:22" s="292" customFormat="1">
      <c r="B152" s="303"/>
      <c r="P152" s="304"/>
      <c r="S152" s="305"/>
      <c r="T152" s="305"/>
      <c r="U152" s="305"/>
      <c r="V152" s="305"/>
    </row>
    <row r="153" spans="2:22" s="292" customFormat="1">
      <c r="S153" s="305"/>
      <c r="T153" s="305"/>
      <c r="U153" s="305"/>
      <c r="V153" s="305"/>
    </row>
    <row r="154" spans="2:22" s="292" customFormat="1">
      <c r="S154" s="305"/>
      <c r="T154" s="305"/>
      <c r="U154" s="305"/>
      <c r="V154" s="305"/>
    </row>
    <row r="155" spans="2:22" s="292" customFormat="1">
      <c r="B155" s="303"/>
      <c r="P155" s="304"/>
      <c r="S155" s="305"/>
      <c r="T155" s="305"/>
      <c r="U155" s="305"/>
      <c r="V155" s="305"/>
    </row>
    <row r="156" spans="2:22" s="292" customFormat="1">
      <c r="S156" s="305"/>
      <c r="T156" s="305"/>
      <c r="U156" s="305"/>
      <c r="V156" s="305"/>
    </row>
    <row r="157" spans="2:22" s="292" customFormat="1">
      <c r="S157" s="305"/>
      <c r="T157" s="305"/>
      <c r="U157" s="305"/>
      <c r="V157" s="305"/>
    </row>
    <row r="158" spans="2:22" s="292" customFormat="1">
      <c r="B158" s="303"/>
      <c r="P158" s="304"/>
      <c r="S158" s="305"/>
      <c r="T158" s="305"/>
      <c r="U158" s="305"/>
      <c r="V158" s="305"/>
    </row>
    <row r="159" spans="2:22" s="292" customFormat="1">
      <c r="S159" s="305"/>
      <c r="T159" s="305"/>
      <c r="U159" s="305"/>
      <c r="V159" s="305"/>
    </row>
    <row r="160" spans="2:22" s="292" customFormat="1">
      <c r="S160" s="305"/>
      <c r="T160" s="305"/>
      <c r="U160" s="305"/>
      <c r="V160" s="305"/>
    </row>
    <row r="161" spans="2:22" s="292" customFormat="1">
      <c r="B161" s="303"/>
      <c r="P161" s="304"/>
      <c r="S161" s="305"/>
      <c r="T161" s="305"/>
      <c r="U161" s="305"/>
      <c r="V161" s="305"/>
    </row>
    <row r="162" spans="2:22" s="292" customFormat="1">
      <c r="S162" s="305"/>
      <c r="T162" s="305"/>
      <c r="U162" s="305"/>
      <c r="V162" s="305"/>
    </row>
    <row r="163" spans="2:22" s="292" customFormat="1">
      <c r="S163" s="305"/>
      <c r="T163" s="305"/>
      <c r="U163" s="305"/>
      <c r="V163" s="305"/>
    </row>
    <row r="164" spans="2:22" s="292" customFormat="1">
      <c r="B164" s="303"/>
      <c r="P164" s="304"/>
      <c r="S164" s="305"/>
      <c r="T164" s="305"/>
      <c r="U164" s="305"/>
      <c r="V164" s="305"/>
    </row>
    <row r="165" spans="2:22" s="292" customFormat="1">
      <c r="S165" s="305"/>
      <c r="T165" s="305"/>
      <c r="U165" s="305"/>
      <c r="V165" s="305"/>
    </row>
    <row r="166" spans="2:22" s="292" customFormat="1">
      <c r="S166" s="305"/>
      <c r="T166" s="305"/>
      <c r="U166" s="305"/>
      <c r="V166" s="305"/>
    </row>
    <row r="167" spans="2:22" s="292" customFormat="1">
      <c r="B167" s="303"/>
      <c r="P167" s="304"/>
      <c r="S167" s="305"/>
      <c r="T167" s="305"/>
      <c r="U167" s="305"/>
      <c r="V167" s="305"/>
    </row>
    <row r="168" spans="2:22" s="292" customFormat="1">
      <c r="S168" s="305"/>
      <c r="T168" s="305"/>
      <c r="U168" s="305"/>
      <c r="V168" s="305"/>
    </row>
    <row r="169" spans="2:22" s="292" customFormat="1">
      <c r="S169" s="305"/>
      <c r="T169" s="305"/>
      <c r="U169" s="305"/>
      <c r="V169" s="305"/>
    </row>
    <row r="170" spans="2:22" s="292" customFormat="1">
      <c r="B170" s="303"/>
      <c r="P170" s="304"/>
      <c r="S170" s="305"/>
      <c r="T170" s="305"/>
      <c r="U170" s="305"/>
      <c r="V170" s="305"/>
    </row>
    <row r="171" spans="2:22" s="292" customFormat="1">
      <c r="S171" s="305"/>
      <c r="T171" s="305"/>
      <c r="U171" s="305"/>
      <c r="V171" s="305"/>
    </row>
    <row r="172" spans="2:22" s="292" customFormat="1">
      <c r="S172" s="305"/>
      <c r="T172" s="305"/>
      <c r="U172" s="305"/>
      <c r="V172" s="305"/>
    </row>
    <row r="173" spans="2:22" s="292" customFormat="1">
      <c r="B173" s="303"/>
      <c r="P173" s="304"/>
      <c r="S173" s="305"/>
      <c r="T173" s="305"/>
      <c r="U173" s="305"/>
      <c r="V173" s="305"/>
    </row>
    <row r="174" spans="2:22" s="292" customFormat="1">
      <c r="S174" s="305"/>
      <c r="T174" s="305"/>
      <c r="U174" s="305"/>
      <c r="V174" s="305"/>
    </row>
    <row r="175" spans="2:22" s="292" customFormat="1">
      <c r="S175" s="305"/>
      <c r="T175" s="305"/>
      <c r="U175" s="305"/>
      <c r="V175" s="305"/>
    </row>
    <row r="176" spans="2:22" s="292" customFormat="1">
      <c r="B176" s="303"/>
      <c r="P176" s="304"/>
      <c r="S176" s="305"/>
      <c r="T176" s="305"/>
      <c r="U176" s="305"/>
      <c r="V176" s="305"/>
    </row>
    <row r="177" spans="2:22" s="292" customFormat="1">
      <c r="S177" s="305"/>
      <c r="T177" s="305"/>
      <c r="U177" s="305"/>
      <c r="V177" s="305"/>
    </row>
    <row r="178" spans="2:22" s="292" customFormat="1">
      <c r="S178" s="305"/>
      <c r="T178" s="305"/>
      <c r="U178" s="305"/>
      <c r="V178" s="305"/>
    </row>
    <row r="179" spans="2:22" s="292" customFormat="1">
      <c r="B179" s="303"/>
      <c r="P179" s="304"/>
      <c r="S179" s="305"/>
      <c r="T179" s="305"/>
      <c r="U179" s="305"/>
      <c r="V179" s="305"/>
    </row>
    <row r="180" spans="2:22" s="292" customFormat="1">
      <c r="S180" s="305"/>
      <c r="T180" s="305"/>
      <c r="U180" s="305"/>
      <c r="V180" s="305"/>
    </row>
    <row r="181" spans="2:22" s="292" customFormat="1">
      <c r="S181" s="305"/>
      <c r="T181" s="305"/>
      <c r="U181" s="305"/>
      <c r="V181" s="305"/>
    </row>
    <row r="182" spans="2:22" s="292" customFormat="1">
      <c r="B182" s="303"/>
      <c r="P182" s="304"/>
      <c r="S182" s="305"/>
      <c r="T182" s="305"/>
      <c r="U182" s="305"/>
      <c r="V182" s="305"/>
    </row>
    <row r="183" spans="2:22" s="292" customFormat="1">
      <c r="S183" s="305"/>
      <c r="T183" s="305"/>
      <c r="U183" s="305"/>
      <c r="V183" s="305"/>
    </row>
    <row r="184" spans="2:22" s="292" customFormat="1">
      <c r="S184" s="305"/>
      <c r="T184" s="305"/>
      <c r="U184" s="305"/>
      <c r="V184" s="305"/>
    </row>
    <row r="185" spans="2:22" s="292" customFormat="1">
      <c r="B185" s="303"/>
      <c r="P185" s="304"/>
      <c r="S185" s="305"/>
      <c r="T185" s="305"/>
      <c r="U185" s="305"/>
      <c r="V185" s="305"/>
    </row>
    <row r="186" spans="2:22" s="292" customFormat="1">
      <c r="S186" s="305"/>
      <c r="T186" s="305"/>
      <c r="U186" s="305"/>
      <c r="V186" s="305"/>
    </row>
    <row r="187" spans="2:22" s="292" customFormat="1">
      <c r="S187" s="305"/>
      <c r="T187" s="305"/>
      <c r="U187" s="305"/>
      <c r="V187" s="305"/>
    </row>
    <row r="188" spans="2:22" s="292" customFormat="1">
      <c r="B188" s="303"/>
      <c r="P188" s="304"/>
      <c r="S188" s="305"/>
      <c r="T188" s="305"/>
      <c r="U188" s="305"/>
      <c r="V188" s="305"/>
    </row>
    <row r="189" spans="2:22" s="292" customFormat="1">
      <c r="S189" s="305"/>
      <c r="T189" s="305"/>
      <c r="U189" s="305"/>
      <c r="V189" s="305"/>
    </row>
    <row r="190" spans="2:22" s="292" customFormat="1">
      <c r="S190" s="305"/>
      <c r="T190" s="305"/>
      <c r="U190" s="305"/>
      <c r="V190" s="305"/>
    </row>
    <row r="191" spans="2:22" s="292" customFormat="1">
      <c r="B191" s="303"/>
      <c r="P191" s="304"/>
      <c r="S191" s="305"/>
      <c r="T191" s="305"/>
      <c r="U191" s="305"/>
      <c r="V191" s="305"/>
    </row>
    <row r="192" spans="2:22" s="292" customFormat="1">
      <c r="S192" s="305"/>
      <c r="T192" s="305"/>
      <c r="U192" s="305"/>
      <c r="V192" s="305"/>
    </row>
    <row r="193" spans="2:22" s="292" customFormat="1">
      <c r="S193" s="305"/>
      <c r="T193" s="305"/>
      <c r="U193" s="305"/>
      <c r="V193" s="305"/>
    </row>
    <row r="194" spans="2:22" s="292" customFormat="1">
      <c r="B194" s="303"/>
      <c r="P194" s="304"/>
      <c r="S194" s="305"/>
      <c r="T194" s="305"/>
      <c r="U194" s="305"/>
      <c r="V194" s="305"/>
    </row>
    <row r="195" spans="2:22" s="292" customFormat="1">
      <c r="S195" s="305"/>
      <c r="T195" s="305"/>
      <c r="U195" s="305"/>
      <c r="V195" s="305"/>
    </row>
    <row r="196" spans="2:22" s="292" customFormat="1">
      <c r="S196" s="305"/>
      <c r="T196" s="305"/>
      <c r="U196" s="305"/>
      <c r="V196" s="305"/>
    </row>
    <row r="197" spans="2:22" s="292" customFormat="1">
      <c r="B197" s="303"/>
      <c r="P197" s="304"/>
      <c r="S197" s="305"/>
      <c r="T197" s="305"/>
      <c r="U197" s="305"/>
      <c r="V197" s="305"/>
    </row>
    <row r="198" spans="2:22" s="292" customFormat="1">
      <c r="S198" s="305"/>
      <c r="T198" s="305"/>
      <c r="U198" s="305"/>
      <c r="V198" s="305"/>
    </row>
    <row r="199" spans="2:22" s="292" customFormat="1">
      <c r="S199" s="305"/>
      <c r="T199" s="305"/>
      <c r="U199" s="305"/>
      <c r="V199" s="305"/>
    </row>
    <row r="200" spans="2:22" s="292" customFormat="1">
      <c r="B200" s="303"/>
      <c r="P200" s="304"/>
      <c r="S200" s="305"/>
      <c r="T200" s="305"/>
      <c r="U200" s="305"/>
      <c r="V200" s="305"/>
    </row>
    <row r="201" spans="2:22" s="292" customFormat="1">
      <c r="S201" s="305"/>
      <c r="T201" s="305"/>
      <c r="U201" s="305"/>
      <c r="V201" s="305"/>
    </row>
    <row r="202" spans="2:22" s="292" customFormat="1">
      <c r="S202" s="305"/>
      <c r="T202" s="305"/>
      <c r="U202" s="305"/>
      <c r="V202" s="305"/>
    </row>
    <row r="203" spans="2:22" s="292" customFormat="1">
      <c r="B203" s="303"/>
      <c r="P203" s="304"/>
      <c r="S203" s="305"/>
      <c r="T203" s="305"/>
      <c r="U203" s="305"/>
      <c r="V203" s="305"/>
    </row>
    <row r="204" spans="2:22" s="292" customFormat="1">
      <c r="S204" s="305"/>
      <c r="T204" s="305"/>
      <c r="U204" s="305"/>
      <c r="V204" s="305"/>
    </row>
    <row r="205" spans="2:22" s="292" customFormat="1">
      <c r="S205" s="305"/>
      <c r="T205" s="305"/>
      <c r="U205" s="305"/>
      <c r="V205" s="305"/>
    </row>
    <row r="206" spans="2:22" s="292" customFormat="1">
      <c r="B206" s="303"/>
      <c r="P206" s="304"/>
      <c r="S206" s="305"/>
      <c r="T206" s="305"/>
      <c r="U206" s="305"/>
      <c r="V206" s="305"/>
    </row>
    <row r="207" spans="2:22" s="292" customFormat="1">
      <c r="S207" s="305"/>
      <c r="T207" s="305"/>
      <c r="U207" s="305"/>
      <c r="V207" s="305"/>
    </row>
    <row r="208" spans="2:22" s="292" customFormat="1">
      <c r="S208" s="305"/>
      <c r="T208" s="305"/>
      <c r="U208" s="305"/>
      <c r="V208" s="305"/>
    </row>
    <row r="209" spans="2:22" s="292" customFormat="1">
      <c r="B209" s="303"/>
      <c r="P209" s="304"/>
      <c r="S209" s="305"/>
      <c r="T209" s="305"/>
      <c r="U209" s="305"/>
      <c r="V209" s="305"/>
    </row>
    <row r="210" spans="2:22" s="292" customFormat="1">
      <c r="S210" s="305"/>
      <c r="T210" s="305"/>
      <c r="U210" s="305"/>
      <c r="V210" s="305"/>
    </row>
    <row r="211" spans="2:22" s="292" customFormat="1">
      <c r="S211" s="305"/>
      <c r="T211" s="305"/>
      <c r="U211" s="305"/>
      <c r="V211" s="305"/>
    </row>
    <row r="212" spans="2:22" s="292" customFormat="1">
      <c r="B212" s="303"/>
      <c r="P212" s="304"/>
      <c r="S212" s="305"/>
      <c r="T212" s="305"/>
      <c r="U212" s="305"/>
      <c r="V212" s="305"/>
    </row>
    <row r="213" spans="2:22" s="292" customFormat="1">
      <c r="S213" s="305"/>
      <c r="T213" s="305"/>
      <c r="U213" s="305"/>
      <c r="V213" s="305"/>
    </row>
    <row r="214" spans="2:22" s="292" customFormat="1">
      <c r="S214" s="305"/>
      <c r="T214" s="305"/>
      <c r="U214" s="305"/>
      <c r="V214" s="305"/>
    </row>
    <row r="215" spans="2:22" s="292" customFormat="1">
      <c r="B215" s="303"/>
      <c r="P215" s="304"/>
      <c r="S215" s="305"/>
      <c r="T215" s="305"/>
      <c r="U215" s="305"/>
      <c r="V215" s="305"/>
    </row>
    <row r="216" spans="2:22" s="292" customFormat="1">
      <c r="S216" s="305"/>
      <c r="T216" s="305"/>
      <c r="U216" s="305"/>
      <c r="V216" s="305"/>
    </row>
    <row r="217" spans="2:22" s="292" customFormat="1">
      <c r="S217" s="305"/>
      <c r="T217" s="305"/>
      <c r="U217" s="305"/>
      <c r="V217" s="305"/>
    </row>
    <row r="218" spans="2:22" s="292" customFormat="1">
      <c r="B218" s="303"/>
      <c r="P218" s="304"/>
      <c r="S218" s="305"/>
      <c r="T218" s="305"/>
      <c r="U218" s="305"/>
      <c r="V218" s="305"/>
    </row>
    <row r="219" spans="2:22" s="292" customFormat="1">
      <c r="S219" s="305"/>
      <c r="T219" s="305"/>
      <c r="U219" s="305"/>
      <c r="V219" s="305"/>
    </row>
    <row r="220" spans="2:22" s="292" customFormat="1">
      <c r="S220" s="305"/>
      <c r="T220" s="305"/>
      <c r="U220" s="305"/>
      <c r="V220" s="305"/>
    </row>
    <row r="221" spans="2:22" s="292" customFormat="1">
      <c r="B221" s="303"/>
      <c r="P221" s="304"/>
      <c r="S221" s="305"/>
      <c r="T221" s="305"/>
      <c r="U221" s="305"/>
      <c r="V221" s="305"/>
    </row>
    <row r="222" spans="2:22" s="292" customFormat="1">
      <c r="S222" s="305"/>
      <c r="T222" s="305"/>
      <c r="U222" s="305"/>
      <c r="V222" s="305"/>
    </row>
    <row r="223" spans="2:22" s="292" customFormat="1">
      <c r="S223" s="305"/>
      <c r="T223" s="305"/>
      <c r="U223" s="305"/>
      <c r="V223" s="305"/>
    </row>
    <row r="224" spans="2:22" s="292" customFormat="1">
      <c r="B224" s="303"/>
      <c r="P224" s="304"/>
      <c r="S224" s="305"/>
      <c r="T224" s="305"/>
      <c r="U224" s="305"/>
      <c r="V224" s="305"/>
    </row>
    <row r="225" spans="2:22" s="292" customFormat="1">
      <c r="S225" s="305"/>
      <c r="T225" s="305"/>
      <c r="U225" s="305"/>
      <c r="V225" s="305"/>
    </row>
    <row r="226" spans="2:22" s="292" customFormat="1">
      <c r="S226" s="305"/>
      <c r="T226" s="305"/>
      <c r="U226" s="305"/>
      <c r="V226" s="305"/>
    </row>
    <row r="227" spans="2:22" s="292" customFormat="1">
      <c r="B227" s="303"/>
      <c r="P227" s="304"/>
      <c r="S227" s="305"/>
      <c r="T227" s="305"/>
      <c r="U227" s="305"/>
      <c r="V227" s="305"/>
    </row>
    <row r="228" spans="2:22" s="292" customFormat="1">
      <c r="S228" s="305"/>
      <c r="T228" s="305"/>
      <c r="U228" s="305"/>
      <c r="V228" s="305"/>
    </row>
    <row r="229" spans="2:22" s="292" customFormat="1">
      <c r="S229" s="305"/>
      <c r="T229" s="305"/>
      <c r="U229" s="305"/>
      <c r="V229" s="305"/>
    </row>
    <row r="230" spans="2:22" s="292" customFormat="1">
      <c r="B230" s="303"/>
      <c r="P230" s="304"/>
      <c r="S230" s="305"/>
      <c r="T230" s="305"/>
      <c r="U230" s="305"/>
      <c r="V230" s="305"/>
    </row>
    <row r="231" spans="2:22" s="292" customFormat="1">
      <c r="S231" s="305"/>
      <c r="T231" s="305"/>
      <c r="U231" s="305"/>
      <c r="V231" s="305"/>
    </row>
    <row r="232" spans="2:22" s="292" customFormat="1">
      <c r="S232" s="305"/>
      <c r="T232" s="305"/>
      <c r="U232" s="305"/>
      <c r="V232" s="305"/>
    </row>
    <row r="233" spans="2:22" s="292" customFormat="1">
      <c r="B233" s="303"/>
      <c r="P233" s="304"/>
      <c r="S233" s="305"/>
      <c r="T233" s="305"/>
      <c r="U233" s="305"/>
      <c r="V233" s="305"/>
    </row>
    <row r="234" spans="2:22" s="292" customFormat="1">
      <c r="S234" s="305"/>
      <c r="T234" s="305"/>
      <c r="U234" s="305"/>
      <c r="V234" s="305"/>
    </row>
    <row r="235" spans="2:22" s="292" customFormat="1">
      <c r="S235" s="305"/>
      <c r="T235" s="305"/>
      <c r="U235" s="305"/>
      <c r="V235" s="305"/>
    </row>
    <row r="236" spans="2:22" s="292" customFormat="1">
      <c r="B236" s="303"/>
      <c r="P236" s="304"/>
      <c r="S236" s="305"/>
      <c r="T236" s="305"/>
      <c r="U236" s="305"/>
      <c r="V236" s="305"/>
    </row>
    <row r="237" spans="2:22" s="292" customFormat="1">
      <c r="S237" s="305"/>
      <c r="T237" s="305"/>
      <c r="U237" s="305"/>
      <c r="V237" s="305"/>
    </row>
    <row r="238" spans="2:22" s="292" customFormat="1">
      <c r="S238" s="305"/>
      <c r="T238" s="305"/>
      <c r="U238" s="305"/>
      <c r="V238" s="305"/>
    </row>
    <row r="239" spans="2:22" s="292" customFormat="1">
      <c r="B239" s="303"/>
      <c r="P239" s="304"/>
      <c r="S239" s="305"/>
      <c r="T239" s="305"/>
      <c r="U239" s="305"/>
      <c r="V239" s="305"/>
    </row>
    <row r="240" spans="2:22" s="292" customFormat="1">
      <c r="S240" s="305"/>
      <c r="T240" s="305"/>
      <c r="U240" s="305"/>
      <c r="V240" s="305"/>
    </row>
    <row r="241" spans="2:22" s="292" customFormat="1">
      <c r="S241" s="305"/>
      <c r="T241" s="305"/>
      <c r="U241" s="305"/>
      <c r="V241" s="305"/>
    </row>
    <row r="242" spans="2:22" s="292" customFormat="1">
      <c r="B242" s="303"/>
      <c r="P242" s="304"/>
      <c r="S242" s="305"/>
      <c r="T242" s="305"/>
      <c r="U242" s="305"/>
      <c r="V242" s="305"/>
    </row>
    <row r="243" spans="2:22" s="292" customFormat="1">
      <c r="S243" s="305"/>
      <c r="T243" s="305"/>
      <c r="U243" s="305"/>
      <c r="V243" s="305"/>
    </row>
    <row r="244" spans="2:22" s="292" customFormat="1">
      <c r="S244" s="305"/>
      <c r="T244" s="305"/>
      <c r="U244" s="305"/>
      <c r="V244" s="305"/>
    </row>
    <row r="245" spans="2:22" s="292" customFormat="1">
      <c r="B245" s="303"/>
      <c r="P245" s="304"/>
      <c r="S245" s="305"/>
      <c r="T245" s="305"/>
      <c r="U245" s="305"/>
      <c r="V245" s="305"/>
    </row>
    <row r="246" spans="2:22" s="292" customFormat="1">
      <c r="S246" s="305"/>
      <c r="T246" s="305"/>
      <c r="U246" s="305"/>
      <c r="V246" s="305"/>
    </row>
    <row r="247" spans="2:22" s="292" customFormat="1">
      <c r="S247" s="305"/>
      <c r="T247" s="305"/>
      <c r="U247" s="305"/>
      <c r="V247" s="305"/>
    </row>
    <row r="248" spans="2:22" s="292" customFormat="1">
      <c r="B248" s="303"/>
      <c r="P248" s="304"/>
      <c r="S248" s="305"/>
      <c r="T248" s="305"/>
      <c r="U248" s="305"/>
      <c r="V248" s="305"/>
    </row>
    <row r="249" spans="2:22" s="292" customFormat="1">
      <c r="S249" s="305"/>
      <c r="T249" s="305"/>
      <c r="U249" s="305"/>
      <c r="V249" s="305"/>
    </row>
    <row r="250" spans="2:22" s="292" customFormat="1">
      <c r="S250" s="305"/>
      <c r="T250" s="305"/>
      <c r="U250" s="305"/>
      <c r="V250" s="305"/>
    </row>
    <row r="251" spans="2:22" s="292" customFormat="1">
      <c r="B251" s="303"/>
      <c r="P251" s="304"/>
      <c r="S251" s="305"/>
      <c r="T251" s="305"/>
      <c r="U251" s="305"/>
      <c r="V251" s="305"/>
    </row>
    <row r="252" spans="2:22" s="292" customFormat="1">
      <c r="S252" s="305"/>
      <c r="T252" s="305"/>
      <c r="U252" s="305"/>
      <c r="V252" s="305"/>
    </row>
    <row r="253" spans="2:22" s="292" customFormat="1">
      <c r="S253" s="305"/>
      <c r="T253" s="305"/>
      <c r="U253" s="305"/>
      <c r="V253" s="305"/>
    </row>
    <row r="254" spans="2:22" s="292" customFormat="1">
      <c r="B254" s="303"/>
      <c r="P254" s="304"/>
      <c r="S254" s="305"/>
      <c r="T254" s="305"/>
      <c r="U254" s="305"/>
      <c r="V254" s="305"/>
    </row>
    <row r="255" spans="2:22" s="292" customFormat="1">
      <c r="S255" s="305"/>
      <c r="T255" s="305"/>
      <c r="U255" s="305"/>
      <c r="V255" s="305"/>
    </row>
    <row r="256" spans="2:22" s="292" customFormat="1">
      <c r="S256" s="305"/>
      <c r="T256" s="305"/>
      <c r="U256" s="305"/>
      <c r="V256" s="305"/>
    </row>
    <row r="257" spans="2:22" s="292" customFormat="1">
      <c r="B257" s="303"/>
      <c r="P257" s="304"/>
      <c r="S257" s="305"/>
      <c r="T257" s="305"/>
      <c r="U257" s="305"/>
      <c r="V257" s="305"/>
    </row>
    <row r="258" spans="2:22" s="292" customFormat="1">
      <c r="S258" s="305"/>
      <c r="T258" s="305"/>
      <c r="U258" s="305"/>
      <c r="V258" s="305"/>
    </row>
    <row r="259" spans="2:22" s="292" customFormat="1">
      <c r="S259" s="305"/>
      <c r="T259" s="305"/>
      <c r="U259" s="305"/>
      <c r="V259" s="305"/>
    </row>
    <row r="260" spans="2:22" s="292" customFormat="1">
      <c r="B260" s="303"/>
      <c r="P260" s="304"/>
      <c r="S260" s="305"/>
      <c r="T260" s="305"/>
      <c r="U260" s="305"/>
      <c r="V260" s="305"/>
    </row>
    <row r="261" spans="2:22" s="292" customFormat="1">
      <c r="S261" s="305"/>
      <c r="T261" s="305"/>
      <c r="U261" s="305"/>
      <c r="V261" s="305"/>
    </row>
    <row r="262" spans="2:22" s="292" customFormat="1">
      <c r="S262" s="305"/>
      <c r="T262" s="305"/>
      <c r="U262" s="305"/>
      <c r="V262" s="305"/>
    </row>
    <row r="263" spans="2:22" s="292" customFormat="1">
      <c r="B263" s="303"/>
      <c r="P263" s="304"/>
      <c r="S263" s="305"/>
      <c r="T263" s="305"/>
      <c r="U263" s="305"/>
      <c r="V263" s="305"/>
    </row>
    <row r="264" spans="2:22" s="292" customFormat="1">
      <c r="S264" s="305"/>
      <c r="T264" s="305"/>
      <c r="U264" s="305"/>
      <c r="V264" s="305"/>
    </row>
    <row r="265" spans="2:22" s="292" customFormat="1">
      <c r="S265" s="305"/>
      <c r="T265" s="305"/>
      <c r="U265" s="305"/>
      <c r="V265" s="305"/>
    </row>
    <row r="266" spans="2:22" s="292" customFormat="1">
      <c r="B266" s="303"/>
      <c r="P266" s="304"/>
      <c r="S266" s="305"/>
      <c r="T266" s="305"/>
      <c r="U266" s="305"/>
      <c r="V266" s="305"/>
    </row>
    <row r="267" spans="2:22" s="292" customFormat="1">
      <c r="S267" s="305"/>
      <c r="T267" s="305"/>
      <c r="U267" s="305"/>
      <c r="V267" s="305"/>
    </row>
    <row r="268" spans="2:22" s="292" customFormat="1">
      <c r="S268" s="305"/>
      <c r="T268" s="305"/>
      <c r="U268" s="305"/>
      <c r="V268" s="305"/>
    </row>
    <row r="269" spans="2:22" s="292" customFormat="1">
      <c r="B269" s="303"/>
      <c r="P269" s="304"/>
      <c r="S269" s="305"/>
      <c r="T269" s="305"/>
      <c r="U269" s="305"/>
      <c r="V269" s="305"/>
    </row>
    <row r="270" spans="2:22" s="292" customFormat="1">
      <c r="S270" s="305"/>
      <c r="T270" s="305"/>
      <c r="U270" s="305"/>
      <c r="V270" s="305"/>
    </row>
    <row r="271" spans="2:22" s="292" customFormat="1">
      <c r="S271" s="305"/>
      <c r="T271" s="305"/>
      <c r="U271" s="305"/>
      <c r="V271" s="305"/>
    </row>
    <row r="272" spans="2:22" s="292" customFormat="1">
      <c r="B272" s="303"/>
      <c r="P272" s="304"/>
      <c r="S272" s="305"/>
      <c r="T272" s="305"/>
      <c r="U272" s="305"/>
      <c r="V272" s="305"/>
    </row>
    <row r="273" spans="2:22" s="292" customFormat="1">
      <c r="S273" s="305"/>
      <c r="T273" s="305"/>
      <c r="U273" s="305"/>
      <c r="V273" s="305"/>
    </row>
    <row r="274" spans="2:22" s="292" customFormat="1">
      <c r="S274" s="305"/>
      <c r="T274" s="305"/>
      <c r="U274" s="305"/>
      <c r="V274" s="305"/>
    </row>
    <row r="275" spans="2:22" s="292" customFormat="1">
      <c r="B275" s="303"/>
      <c r="P275" s="304"/>
      <c r="S275" s="305"/>
      <c r="T275" s="305"/>
      <c r="U275" s="305"/>
      <c r="V275" s="305"/>
    </row>
    <row r="276" spans="2:22" s="292" customFormat="1">
      <c r="S276" s="305"/>
      <c r="T276" s="305"/>
      <c r="U276" s="305"/>
      <c r="V276" s="305"/>
    </row>
    <row r="277" spans="2:22" s="292" customFormat="1">
      <c r="S277" s="305"/>
      <c r="T277" s="305"/>
      <c r="U277" s="305"/>
      <c r="V277" s="305"/>
    </row>
    <row r="278" spans="2:22" s="292" customFormat="1">
      <c r="B278" s="303"/>
      <c r="P278" s="304"/>
      <c r="S278" s="306"/>
      <c r="T278" s="305"/>
      <c r="U278" s="305"/>
      <c r="V278" s="305"/>
    </row>
    <row r="279" spans="2:22" s="292" customFormat="1">
      <c r="S279" s="305"/>
      <c r="T279" s="305"/>
      <c r="U279" s="305"/>
      <c r="V279" s="305"/>
    </row>
    <row r="280" spans="2:22" s="292" customFormat="1">
      <c r="S280" s="305"/>
      <c r="T280" s="305"/>
      <c r="U280" s="305"/>
      <c r="V280" s="305"/>
    </row>
    <row r="281" spans="2:22" s="292" customFormat="1">
      <c r="B281" s="303"/>
      <c r="P281" s="304"/>
      <c r="S281" s="305"/>
      <c r="T281" s="305"/>
      <c r="U281" s="305"/>
      <c r="V281" s="305"/>
    </row>
    <row r="282" spans="2:22" s="292" customFormat="1">
      <c r="S282" s="305"/>
      <c r="T282" s="305"/>
      <c r="U282" s="305"/>
      <c r="V282" s="305"/>
    </row>
    <row r="283" spans="2:22" s="292" customFormat="1">
      <c r="S283" s="305"/>
      <c r="T283" s="305"/>
      <c r="U283" s="305"/>
      <c r="V283" s="305"/>
    </row>
    <row r="284" spans="2:22" s="292" customFormat="1">
      <c r="B284" s="303"/>
      <c r="P284" s="304"/>
      <c r="S284" s="305"/>
      <c r="T284" s="305"/>
      <c r="U284" s="305"/>
      <c r="V284" s="305"/>
    </row>
    <row r="285" spans="2:22" s="292" customFormat="1">
      <c r="S285" s="305"/>
      <c r="T285" s="305"/>
      <c r="U285" s="305"/>
      <c r="V285" s="305"/>
    </row>
    <row r="286" spans="2:22" s="292" customFormat="1">
      <c r="S286" s="305"/>
      <c r="T286" s="305"/>
      <c r="U286" s="305"/>
      <c r="V286" s="305"/>
    </row>
    <row r="287" spans="2:22" s="292" customFormat="1">
      <c r="B287" s="303"/>
      <c r="P287" s="304"/>
      <c r="S287" s="305"/>
      <c r="T287" s="305"/>
      <c r="U287" s="305"/>
      <c r="V287" s="305"/>
    </row>
    <row r="288" spans="2:22" s="292" customFormat="1">
      <c r="S288" s="305"/>
      <c r="T288" s="305"/>
      <c r="U288" s="305"/>
      <c r="V288" s="305"/>
    </row>
    <row r="289" spans="2:22" s="292" customFormat="1">
      <c r="S289" s="305"/>
      <c r="T289" s="305"/>
      <c r="U289" s="305"/>
      <c r="V289" s="305"/>
    </row>
    <row r="290" spans="2:22" s="292" customFormat="1">
      <c r="B290" s="303"/>
      <c r="P290" s="304"/>
      <c r="S290" s="305"/>
      <c r="T290" s="305"/>
      <c r="U290" s="305"/>
      <c r="V290" s="305"/>
    </row>
    <row r="291" spans="2:22" s="292" customFormat="1">
      <c r="S291" s="305"/>
      <c r="T291" s="305"/>
      <c r="U291" s="305"/>
      <c r="V291" s="305"/>
    </row>
    <row r="292" spans="2:22" s="292" customFormat="1">
      <c r="S292" s="305"/>
      <c r="T292" s="305"/>
      <c r="U292" s="305"/>
      <c r="V292" s="305"/>
    </row>
    <row r="293" spans="2:22" s="292" customFormat="1">
      <c r="B293" s="303"/>
      <c r="P293" s="304"/>
      <c r="S293" s="305"/>
      <c r="T293" s="305"/>
      <c r="U293" s="305"/>
      <c r="V293" s="305"/>
    </row>
    <row r="294" spans="2:22" s="292" customFormat="1">
      <c r="S294" s="305"/>
      <c r="T294" s="305"/>
      <c r="U294" s="305"/>
      <c r="V294" s="305"/>
    </row>
    <row r="295" spans="2:22" s="292" customFormat="1">
      <c r="S295" s="305"/>
      <c r="T295" s="305"/>
      <c r="U295" s="305"/>
      <c r="V295" s="305"/>
    </row>
    <row r="296" spans="2:22" s="292" customFormat="1">
      <c r="B296" s="303"/>
      <c r="P296" s="304"/>
      <c r="S296" s="306"/>
      <c r="T296" s="305"/>
      <c r="U296" s="305"/>
      <c r="V296" s="305"/>
    </row>
    <row r="297" spans="2:22" s="292" customFormat="1">
      <c r="S297" s="305"/>
      <c r="T297" s="305"/>
      <c r="U297" s="305"/>
      <c r="V297" s="305"/>
    </row>
    <row r="298" spans="2:22" s="292" customFormat="1">
      <c r="S298" s="305"/>
      <c r="T298" s="305"/>
      <c r="U298" s="305"/>
      <c r="V298" s="305"/>
    </row>
    <row r="299" spans="2:22" s="292" customFormat="1">
      <c r="B299" s="303"/>
      <c r="P299" s="304"/>
      <c r="S299" s="305"/>
      <c r="T299" s="305"/>
      <c r="U299" s="305"/>
      <c r="V299" s="305"/>
    </row>
    <row r="300" spans="2:22" s="292" customFormat="1">
      <c r="S300" s="305"/>
      <c r="T300" s="305"/>
      <c r="U300" s="305"/>
      <c r="V300" s="305"/>
    </row>
    <row r="301" spans="2:22" s="292" customFormat="1">
      <c r="S301" s="305"/>
      <c r="T301" s="305"/>
      <c r="U301" s="305"/>
      <c r="V301" s="305"/>
    </row>
    <row r="302" spans="2:22" s="292" customFormat="1">
      <c r="B302" s="303"/>
      <c r="P302" s="304"/>
      <c r="S302" s="305"/>
      <c r="T302" s="305"/>
      <c r="U302" s="305"/>
      <c r="V302" s="305"/>
    </row>
    <row r="303" spans="2:22" s="292" customFormat="1">
      <c r="S303" s="305"/>
      <c r="T303" s="305"/>
      <c r="U303" s="305"/>
      <c r="V303" s="305"/>
    </row>
    <row r="304" spans="2:22" s="292" customFormat="1">
      <c r="S304" s="305"/>
      <c r="T304" s="305"/>
      <c r="U304" s="305"/>
      <c r="V304" s="305"/>
    </row>
    <row r="305" spans="2:22" s="292" customFormat="1">
      <c r="B305" s="303"/>
      <c r="P305" s="304"/>
      <c r="S305" s="305"/>
      <c r="T305" s="305"/>
      <c r="U305" s="305"/>
      <c r="V305" s="305"/>
    </row>
    <row r="306" spans="2:22" s="292" customFormat="1">
      <c r="S306" s="305"/>
      <c r="T306" s="305"/>
      <c r="U306" s="305"/>
      <c r="V306" s="305"/>
    </row>
    <row r="307" spans="2:22" s="292" customFormat="1">
      <c r="S307" s="305"/>
      <c r="T307" s="305"/>
      <c r="U307" s="305"/>
      <c r="V307" s="305"/>
    </row>
    <row r="308" spans="2:22" s="292" customFormat="1">
      <c r="B308" s="303"/>
      <c r="P308" s="304"/>
      <c r="S308" s="305"/>
      <c r="T308" s="305"/>
      <c r="U308" s="305"/>
      <c r="V308" s="305"/>
    </row>
    <row r="309" spans="2:22" s="292" customFormat="1">
      <c r="S309" s="305"/>
      <c r="T309" s="305"/>
      <c r="U309" s="305"/>
      <c r="V309" s="305"/>
    </row>
    <row r="310" spans="2:22" s="292" customFormat="1">
      <c r="S310" s="305"/>
      <c r="T310" s="305"/>
      <c r="U310" s="305"/>
      <c r="V310" s="305"/>
    </row>
    <row r="311" spans="2:22" s="292" customFormat="1">
      <c r="B311" s="303"/>
      <c r="P311" s="304"/>
      <c r="S311" s="305"/>
      <c r="T311" s="305"/>
      <c r="U311" s="305"/>
      <c r="V311" s="305"/>
    </row>
    <row r="312" spans="2:22" s="292" customFormat="1">
      <c r="S312" s="305"/>
      <c r="T312" s="305"/>
      <c r="U312" s="305"/>
      <c r="V312" s="305"/>
    </row>
    <row r="313" spans="2:22" s="292" customFormat="1">
      <c r="S313" s="305"/>
      <c r="T313" s="305"/>
      <c r="U313" s="305"/>
      <c r="V313" s="305"/>
    </row>
    <row r="314" spans="2:22" s="292" customFormat="1">
      <c r="B314" s="303"/>
      <c r="P314" s="304"/>
      <c r="S314" s="305"/>
      <c r="T314" s="305"/>
      <c r="U314" s="305"/>
      <c r="V314" s="305"/>
    </row>
    <row r="315" spans="2:22" s="292" customFormat="1">
      <c r="S315" s="305"/>
      <c r="T315" s="305"/>
      <c r="U315" s="305"/>
      <c r="V315" s="305"/>
    </row>
    <row r="316" spans="2:22" s="292" customFormat="1">
      <c r="S316" s="305"/>
      <c r="T316" s="305"/>
      <c r="U316" s="305"/>
      <c r="V316" s="305"/>
    </row>
    <row r="317" spans="2:22" s="292" customFormat="1">
      <c r="B317" s="303"/>
      <c r="P317" s="304"/>
      <c r="S317" s="305"/>
      <c r="T317" s="305"/>
      <c r="U317" s="305"/>
      <c r="V317" s="305"/>
    </row>
    <row r="318" spans="2:22" s="292" customFormat="1">
      <c r="S318" s="305"/>
      <c r="T318" s="305"/>
      <c r="U318" s="305"/>
      <c r="V318" s="305"/>
    </row>
    <row r="319" spans="2:22" s="292" customFormat="1">
      <c r="S319" s="305"/>
      <c r="T319" s="305"/>
      <c r="U319" s="305"/>
      <c r="V319" s="305"/>
    </row>
    <row r="320" spans="2:22" s="292" customFormat="1">
      <c r="B320" s="303"/>
      <c r="P320" s="304"/>
      <c r="S320" s="305"/>
      <c r="T320" s="305"/>
      <c r="U320" s="305"/>
      <c r="V320" s="305"/>
    </row>
    <row r="321" spans="2:22" s="292" customFormat="1">
      <c r="S321" s="305"/>
      <c r="T321" s="305"/>
      <c r="U321" s="305"/>
      <c r="V321" s="305"/>
    </row>
    <row r="322" spans="2:22" s="292" customFormat="1">
      <c r="S322" s="305"/>
      <c r="T322" s="305"/>
      <c r="U322" s="305"/>
      <c r="V322" s="305"/>
    </row>
    <row r="323" spans="2:22" s="292" customFormat="1">
      <c r="B323" s="303"/>
      <c r="P323" s="304"/>
      <c r="S323" s="305"/>
      <c r="T323" s="305"/>
      <c r="U323" s="305"/>
      <c r="V323" s="305"/>
    </row>
    <row r="324" spans="2:22" s="292" customFormat="1">
      <c r="S324" s="305"/>
      <c r="T324" s="305"/>
      <c r="U324" s="305"/>
      <c r="V324" s="305"/>
    </row>
    <row r="325" spans="2:22" s="292" customFormat="1">
      <c r="S325" s="305"/>
      <c r="T325" s="305"/>
      <c r="U325" s="305"/>
      <c r="V325" s="305"/>
    </row>
    <row r="326" spans="2:22" s="292" customFormat="1">
      <c r="B326" s="303"/>
      <c r="P326" s="304"/>
      <c r="S326" s="305"/>
      <c r="T326" s="305"/>
      <c r="U326" s="305"/>
      <c r="V326" s="305"/>
    </row>
    <row r="327" spans="2:22" s="292" customFormat="1">
      <c r="S327" s="305"/>
      <c r="T327" s="305"/>
      <c r="U327" s="305"/>
      <c r="V327" s="305"/>
    </row>
    <row r="328" spans="2:22" s="292" customFormat="1">
      <c r="S328" s="305"/>
      <c r="T328" s="305"/>
      <c r="U328" s="305"/>
      <c r="V328" s="305"/>
    </row>
    <row r="329" spans="2:22" s="292" customFormat="1">
      <c r="B329" s="303"/>
      <c r="P329" s="304"/>
      <c r="S329" s="305"/>
      <c r="T329" s="305"/>
      <c r="U329" s="305"/>
      <c r="V329" s="305"/>
    </row>
    <row r="330" spans="2:22" s="292" customFormat="1">
      <c r="S330" s="305"/>
      <c r="T330" s="305"/>
      <c r="U330" s="305"/>
      <c r="V330" s="305"/>
    </row>
    <row r="331" spans="2:22" s="292" customFormat="1">
      <c r="S331" s="305"/>
      <c r="T331" s="305"/>
      <c r="U331" s="305"/>
      <c r="V331" s="305"/>
    </row>
    <row r="332" spans="2:22" s="292" customFormat="1">
      <c r="B332" s="303"/>
      <c r="P332" s="304"/>
      <c r="S332" s="305"/>
      <c r="T332" s="305"/>
      <c r="U332" s="305"/>
      <c r="V332" s="305"/>
    </row>
    <row r="333" spans="2:22" s="292" customFormat="1">
      <c r="S333" s="305"/>
      <c r="T333" s="305"/>
      <c r="U333" s="305"/>
      <c r="V333" s="305"/>
    </row>
    <row r="334" spans="2:22" s="292" customFormat="1">
      <c r="S334" s="305"/>
      <c r="T334" s="305"/>
      <c r="U334" s="305"/>
      <c r="V334" s="305"/>
    </row>
    <row r="335" spans="2:22" s="292" customFormat="1">
      <c r="B335" s="303"/>
      <c r="P335" s="304"/>
      <c r="S335" s="305"/>
      <c r="T335" s="305"/>
      <c r="U335" s="305"/>
      <c r="V335" s="305"/>
    </row>
    <row r="336" spans="2:22" s="292" customFormat="1">
      <c r="S336" s="305"/>
      <c r="T336" s="305"/>
      <c r="U336" s="305"/>
      <c r="V336" s="305"/>
    </row>
    <row r="337" spans="2:22" s="292" customFormat="1">
      <c r="S337" s="305"/>
      <c r="T337" s="305"/>
      <c r="U337" s="305"/>
      <c r="V337" s="305"/>
    </row>
    <row r="338" spans="2:22" s="292" customFormat="1">
      <c r="B338" s="303"/>
      <c r="P338" s="304"/>
      <c r="S338" s="305"/>
      <c r="T338" s="305"/>
      <c r="U338" s="305"/>
      <c r="V338" s="305"/>
    </row>
    <row r="339" spans="2:22" s="292" customFormat="1">
      <c r="S339" s="305"/>
      <c r="T339" s="305"/>
      <c r="U339" s="305"/>
      <c r="V339" s="305"/>
    </row>
    <row r="340" spans="2:22" s="292" customFormat="1">
      <c r="S340" s="305"/>
      <c r="T340" s="305"/>
      <c r="U340" s="305"/>
      <c r="V340" s="305"/>
    </row>
    <row r="341" spans="2:22" s="292" customFormat="1">
      <c r="B341" s="303"/>
      <c r="P341" s="304"/>
      <c r="S341" s="305"/>
      <c r="T341" s="305"/>
      <c r="U341" s="305"/>
      <c r="V341" s="305"/>
    </row>
    <row r="342" spans="2:22" s="292" customFormat="1">
      <c r="S342" s="305"/>
      <c r="T342" s="305"/>
      <c r="U342" s="305"/>
      <c r="V342" s="305"/>
    </row>
    <row r="343" spans="2:22" s="292" customFormat="1">
      <c r="S343" s="305"/>
      <c r="T343" s="305"/>
      <c r="U343" s="305"/>
      <c r="V343" s="305"/>
    </row>
    <row r="344" spans="2:22" s="292" customFormat="1">
      <c r="B344" s="303"/>
      <c r="P344" s="304"/>
      <c r="S344" s="305"/>
      <c r="T344" s="305"/>
      <c r="U344" s="305"/>
      <c r="V344" s="305"/>
    </row>
    <row r="345" spans="2:22" s="292" customFormat="1">
      <c r="S345" s="305"/>
      <c r="T345" s="305"/>
      <c r="U345" s="305"/>
      <c r="V345" s="305"/>
    </row>
    <row r="346" spans="2:22" s="292" customFormat="1">
      <c r="S346" s="305"/>
      <c r="T346" s="305"/>
      <c r="U346" s="305"/>
      <c r="V346" s="305"/>
    </row>
    <row r="347" spans="2:22" s="292" customFormat="1">
      <c r="B347" s="303"/>
      <c r="P347" s="304"/>
      <c r="S347" s="305"/>
      <c r="T347" s="305"/>
      <c r="U347" s="305"/>
      <c r="V347" s="305"/>
    </row>
    <row r="348" spans="2:22" s="292" customFormat="1">
      <c r="S348" s="305"/>
      <c r="T348" s="305"/>
      <c r="U348" s="305"/>
      <c r="V348" s="305"/>
    </row>
    <row r="349" spans="2:22" s="292" customFormat="1">
      <c r="S349" s="305"/>
      <c r="T349" s="305"/>
      <c r="U349" s="305"/>
      <c r="V349" s="305"/>
    </row>
    <row r="350" spans="2:22" s="292" customFormat="1">
      <c r="B350" s="303"/>
      <c r="P350" s="304"/>
      <c r="S350" s="305"/>
      <c r="T350" s="305"/>
      <c r="U350" s="305"/>
      <c r="V350" s="305"/>
    </row>
    <row r="351" spans="2:22" s="292" customFormat="1">
      <c r="S351" s="305"/>
      <c r="T351" s="305"/>
      <c r="U351" s="305"/>
      <c r="V351" s="305"/>
    </row>
    <row r="352" spans="2:22" s="292" customFormat="1">
      <c r="S352" s="305"/>
      <c r="T352" s="305"/>
      <c r="U352" s="305"/>
      <c r="V352" s="305"/>
    </row>
    <row r="353" spans="2:22" s="292" customFormat="1">
      <c r="B353" s="303"/>
      <c r="P353" s="304"/>
      <c r="S353" s="305"/>
      <c r="T353" s="305"/>
      <c r="U353" s="305"/>
      <c r="V353" s="305"/>
    </row>
    <row r="354" spans="2:22" s="292" customFormat="1">
      <c r="S354" s="305"/>
      <c r="T354" s="305"/>
      <c r="U354" s="305"/>
      <c r="V354" s="305"/>
    </row>
    <row r="355" spans="2:22" s="292" customFormat="1">
      <c r="S355" s="305"/>
      <c r="T355" s="305"/>
      <c r="U355" s="305"/>
      <c r="V355" s="305"/>
    </row>
    <row r="356" spans="2:22" s="292" customFormat="1">
      <c r="B356" s="303"/>
      <c r="P356" s="304"/>
      <c r="S356" s="305"/>
      <c r="T356" s="305"/>
      <c r="U356" s="305"/>
      <c r="V356" s="305"/>
    </row>
    <row r="357" spans="2:22" s="292" customFormat="1">
      <c r="S357" s="305"/>
      <c r="T357" s="305"/>
      <c r="U357" s="305"/>
      <c r="V357" s="305"/>
    </row>
    <row r="358" spans="2:22" s="292" customFormat="1">
      <c r="S358" s="305"/>
      <c r="T358" s="305"/>
      <c r="U358" s="305"/>
      <c r="V358" s="305"/>
    </row>
    <row r="359" spans="2:22" s="292" customFormat="1">
      <c r="B359" s="303"/>
      <c r="P359" s="304"/>
      <c r="S359" s="305"/>
      <c r="T359" s="305"/>
      <c r="U359" s="305"/>
      <c r="V359" s="305"/>
    </row>
    <row r="360" spans="2:22" s="292" customFormat="1">
      <c r="S360" s="305"/>
      <c r="T360" s="305"/>
      <c r="U360" s="305"/>
      <c r="V360" s="305"/>
    </row>
    <row r="361" spans="2:22" s="292" customFormat="1">
      <c r="S361" s="305"/>
      <c r="T361" s="305"/>
      <c r="U361" s="305"/>
      <c r="V361" s="305"/>
    </row>
    <row r="362" spans="2:22" s="292" customFormat="1">
      <c r="B362" s="303"/>
      <c r="P362" s="304"/>
      <c r="S362" s="305"/>
      <c r="T362" s="305"/>
      <c r="U362" s="305"/>
      <c r="V362" s="305"/>
    </row>
    <row r="363" spans="2:22" s="292" customFormat="1">
      <c r="S363" s="305"/>
      <c r="T363" s="305"/>
      <c r="U363" s="305"/>
      <c r="V363" s="305"/>
    </row>
    <row r="364" spans="2:22" s="292" customFormat="1">
      <c r="S364" s="305"/>
      <c r="T364" s="305"/>
      <c r="U364" s="305"/>
      <c r="V364" s="305"/>
    </row>
    <row r="365" spans="2:22" s="292" customFormat="1">
      <c r="B365" s="303"/>
      <c r="P365" s="304"/>
      <c r="S365" s="305"/>
      <c r="T365" s="305"/>
      <c r="U365" s="305"/>
      <c r="V365" s="305"/>
    </row>
    <row r="366" spans="2:22" s="292" customFormat="1">
      <c r="S366" s="305"/>
      <c r="T366" s="305"/>
      <c r="U366" s="305"/>
      <c r="V366" s="305"/>
    </row>
    <row r="367" spans="2:22" s="292" customFormat="1">
      <c r="S367" s="305"/>
      <c r="T367" s="305"/>
      <c r="U367" s="305"/>
      <c r="V367" s="305"/>
    </row>
    <row r="368" spans="2:22" s="292" customFormat="1">
      <c r="B368" s="303"/>
      <c r="P368" s="304"/>
      <c r="S368" s="305"/>
      <c r="T368" s="305"/>
      <c r="U368" s="305"/>
      <c r="V368" s="305"/>
    </row>
    <row r="369" spans="2:22" s="292" customFormat="1">
      <c r="S369" s="305"/>
      <c r="T369" s="305"/>
      <c r="U369" s="305"/>
      <c r="V369" s="305"/>
    </row>
    <row r="370" spans="2:22" s="292" customFormat="1">
      <c r="S370" s="305"/>
      <c r="T370" s="305"/>
      <c r="U370" s="305"/>
      <c r="V370" s="305"/>
    </row>
    <row r="371" spans="2:22" s="292" customFormat="1">
      <c r="B371" s="303"/>
      <c r="P371" s="304"/>
      <c r="S371" s="305"/>
      <c r="T371" s="305"/>
      <c r="U371" s="305"/>
      <c r="V371" s="305"/>
    </row>
    <row r="372" spans="2:22" s="292" customFormat="1">
      <c r="S372" s="305"/>
      <c r="T372" s="305"/>
      <c r="U372" s="305"/>
      <c r="V372" s="305"/>
    </row>
    <row r="373" spans="2:22" s="292" customFormat="1">
      <c r="S373" s="305"/>
      <c r="T373" s="305"/>
      <c r="U373" s="305"/>
      <c r="V373" s="305"/>
    </row>
    <row r="374" spans="2:22" s="292" customFormat="1">
      <c r="B374" s="303"/>
      <c r="P374" s="304"/>
      <c r="S374" s="305"/>
      <c r="T374" s="305"/>
      <c r="U374" s="305"/>
      <c r="V374" s="305"/>
    </row>
    <row r="375" spans="2:22" s="292" customFormat="1">
      <c r="S375" s="305"/>
      <c r="T375" s="305"/>
      <c r="U375" s="305"/>
      <c r="V375" s="305"/>
    </row>
    <row r="376" spans="2:22" s="292" customFormat="1">
      <c r="S376" s="305"/>
      <c r="T376" s="305"/>
      <c r="U376" s="305"/>
      <c r="V376" s="305"/>
    </row>
    <row r="377" spans="2:22" s="292" customFormat="1">
      <c r="B377" s="303"/>
      <c r="P377" s="304"/>
      <c r="S377" s="305"/>
      <c r="T377" s="305"/>
      <c r="U377" s="305"/>
      <c r="V377" s="305"/>
    </row>
    <row r="378" spans="2:22" s="292" customFormat="1">
      <c r="S378" s="305"/>
      <c r="T378" s="305"/>
      <c r="U378" s="305"/>
      <c r="V378" s="305"/>
    </row>
    <row r="379" spans="2:22" s="292" customFormat="1">
      <c r="S379" s="305"/>
      <c r="T379" s="305"/>
      <c r="U379" s="305"/>
      <c r="V379" s="305"/>
    </row>
    <row r="380" spans="2:22" s="292" customFormat="1">
      <c r="B380" s="303"/>
      <c r="P380" s="304"/>
      <c r="S380" s="305"/>
      <c r="T380" s="305"/>
      <c r="U380" s="305"/>
      <c r="V380" s="305"/>
    </row>
    <row r="381" spans="2:22" s="292" customFormat="1">
      <c r="S381" s="305"/>
      <c r="T381" s="305"/>
      <c r="U381" s="305"/>
      <c r="V381" s="305"/>
    </row>
    <row r="382" spans="2:22" s="292" customFormat="1">
      <c r="S382" s="305"/>
      <c r="T382" s="305"/>
      <c r="U382" s="305"/>
      <c r="V382" s="305"/>
    </row>
    <row r="383" spans="2:22" s="292" customFormat="1">
      <c r="B383" s="303"/>
      <c r="P383" s="304"/>
      <c r="S383" s="305"/>
      <c r="T383" s="305"/>
      <c r="U383" s="305"/>
      <c r="V383" s="305"/>
    </row>
    <row r="384" spans="2:22" s="292" customFormat="1">
      <c r="S384" s="305"/>
      <c r="T384" s="305"/>
      <c r="U384" s="305"/>
      <c r="V384" s="305"/>
    </row>
    <row r="385" spans="2:22" s="292" customFormat="1">
      <c r="S385" s="305"/>
      <c r="T385" s="305"/>
      <c r="U385" s="305"/>
      <c r="V385" s="305"/>
    </row>
    <row r="386" spans="2:22" s="292" customFormat="1">
      <c r="B386" s="303"/>
      <c r="P386" s="304"/>
      <c r="S386" s="305"/>
      <c r="T386" s="305"/>
      <c r="U386" s="305"/>
      <c r="V386" s="305"/>
    </row>
    <row r="387" spans="2:22" s="292" customFormat="1">
      <c r="S387" s="305"/>
      <c r="T387" s="305"/>
      <c r="U387" s="305"/>
      <c r="V387" s="305"/>
    </row>
    <row r="388" spans="2:22" s="292" customFormat="1">
      <c r="S388" s="305"/>
      <c r="T388" s="305"/>
      <c r="U388" s="305"/>
      <c r="V388" s="305"/>
    </row>
    <row r="389" spans="2:22" s="292" customFormat="1">
      <c r="B389" s="303"/>
      <c r="P389" s="304"/>
      <c r="S389" s="305"/>
      <c r="T389" s="305"/>
      <c r="U389" s="305"/>
      <c r="V389" s="305"/>
    </row>
    <row r="390" spans="2:22" s="292" customFormat="1">
      <c r="S390" s="305"/>
      <c r="T390" s="305"/>
      <c r="U390" s="305"/>
      <c r="V390" s="305"/>
    </row>
    <row r="391" spans="2:22" s="292" customFormat="1">
      <c r="S391" s="305"/>
      <c r="T391" s="305"/>
      <c r="U391" s="305"/>
      <c r="V391" s="305"/>
    </row>
    <row r="392" spans="2:22" s="292" customFormat="1">
      <c r="B392" s="303"/>
      <c r="P392" s="304"/>
      <c r="S392" s="305"/>
      <c r="T392" s="305"/>
      <c r="U392" s="305"/>
      <c r="V392" s="305"/>
    </row>
    <row r="393" spans="2:22" s="292" customFormat="1">
      <c r="S393" s="305"/>
      <c r="T393" s="305"/>
      <c r="U393" s="305"/>
      <c r="V393" s="305"/>
    </row>
    <row r="394" spans="2:22" s="292" customFormat="1">
      <c r="S394" s="305"/>
      <c r="T394" s="305"/>
      <c r="U394" s="305"/>
      <c r="V394" s="305"/>
    </row>
    <row r="395" spans="2:22" s="292" customFormat="1">
      <c r="B395" s="303"/>
      <c r="P395" s="304"/>
      <c r="S395" s="305"/>
      <c r="T395" s="305"/>
      <c r="U395" s="305"/>
      <c r="V395" s="305"/>
    </row>
    <row r="396" spans="2:22" s="292" customFormat="1">
      <c r="S396" s="305"/>
      <c r="T396" s="305"/>
      <c r="U396" s="305"/>
      <c r="V396" s="305"/>
    </row>
    <row r="397" spans="2:22" s="292" customFormat="1">
      <c r="S397" s="305"/>
      <c r="T397" s="305"/>
      <c r="U397" s="305"/>
      <c r="V397" s="305"/>
    </row>
    <row r="398" spans="2:22" s="292" customFormat="1">
      <c r="B398" s="303"/>
      <c r="P398" s="304"/>
      <c r="S398" s="305"/>
      <c r="T398" s="305"/>
      <c r="U398" s="305"/>
      <c r="V398" s="305"/>
    </row>
    <row r="399" spans="2:22" s="292" customFormat="1">
      <c r="S399" s="305"/>
      <c r="T399" s="305"/>
      <c r="U399" s="305"/>
      <c r="V399" s="305"/>
    </row>
    <row r="400" spans="2:22" s="292" customFormat="1">
      <c r="S400" s="305"/>
      <c r="T400" s="305"/>
      <c r="U400" s="305"/>
      <c r="V400" s="305"/>
    </row>
    <row r="401" spans="2:22" s="292" customFormat="1">
      <c r="B401" s="303"/>
      <c r="P401" s="304"/>
      <c r="S401" s="305"/>
      <c r="T401" s="305"/>
      <c r="U401" s="305"/>
      <c r="V401" s="305"/>
    </row>
    <row r="402" spans="2:22" s="292" customFormat="1">
      <c r="S402" s="305"/>
      <c r="T402" s="305"/>
      <c r="U402" s="305"/>
      <c r="V402" s="305"/>
    </row>
    <row r="403" spans="2:22" s="292" customFormat="1">
      <c r="S403" s="305"/>
      <c r="T403" s="305"/>
      <c r="U403" s="305"/>
      <c r="V403" s="305"/>
    </row>
    <row r="404" spans="2:22" s="292" customFormat="1">
      <c r="B404" s="303"/>
      <c r="P404" s="304"/>
      <c r="S404" s="305"/>
      <c r="T404" s="305"/>
      <c r="U404" s="305"/>
      <c r="V404" s="305"/>
    </row>
    <row r="405" spans="2:22" s="292" customFormat="1">
      <c r="S405" s="305"/>
      <c r="T405" s="305"/>
      <c r="U405" s="305"/>
      <c r="V405" s="305"/>
    </row>
    <row r="406" spans="2:22" s="292" customFormat="1">
      <c r="S406" s="305"/>
      <c r="T406" s="305"/>
      <c r="U406" s="305"/>
      <c r="V406" s="305"/>
    </row>
    <row r="407" spans="2:22" s="292" customFormat="1">
      <c r="B407" s="303"/>
      <c r="P407" s="304"/>
      <c r="S407" s="305"/>
      <c r="T407" s="305"/>
      <c r="U407" s="305"/>
      <c r="V407" s="305"/>
    </row>
    <row r="408" spans="2:22" s="292" customFormat="1">
      <c r="S408" s="305"/>
      <c r="T408" s="305"/>
      <c r="U408" s="305"/>
      <c r="V408" s="305"/>
    </row>
    <row r="409" spans="2:22" s="292" customFormat="1">
      <c r="S409" s="305"/>
      <c r="T409" s="305"/>
      <c r="U409" s="305"/>
      <c r="V409" s="305"/>
    </row>
    <row r="410" spans="2:22" s="292" customFormat="1">
      <c r="B410" s="303"/>
      <c r="P410" s="304"/>
      <c r="S410" s="305"/>
      <c r="T410" s="305"/>
      <c r="U410" s="305"/>
      <c r="V410" s="305"/>
    </row>
    <row r="411" spans="2:22" s="292" customFormat="1">
      <c r="S411" s="305"/>
      <c r="T411" s="305"/>
      <c r="U411" s="305"/>
      <c r="V411" s="305"/>
    </row>
    <row r="412" spans="2:22" s="292" customFormat="1">
      <c r="S412" s="305"/>
      <c r="T412" s="305"/>
      <c r="U412" s="305"/>
      <c r="V412" s="305"/>
    </row>
    <row r="413" spans="2:22" s="292" customFormat="1">
      <c r="B413" s="303"/>
      <c r="P413" s="304"/>
      <c r="S413" s="305"/>
      <c r="T413" s="305"/>
      <c r="U413" s="305"/>
      <c r="V413" s="305"/>
    </row>
    <row r="414" spans="2:22" s="292" customFormat="1">
      <c r="S414" s="305"/>
      <c r="T414" s="305"/>
      <c r="U414" s="305"/>
      <c r="V414" s="305"/>
    </row>
    <row r="415" spans="2:22" s="292" customFormat="1">
      <c r="S415" s="305"/>
      <c r="T415" s="305"/>
      <c r="U415" s="305"/>
      <c r="V415" s="305"/>
    </row>
    <row r="416" spans="2:22" s="292" customFormat="1">
      <c r="B416" s="303"/>
      <c r="P416" s="304"/>
      <c r="S416" s="305"/>
      <c r="T416" s="305"/>
      <c r="U416" s="305"/>
      <c r="V416" s="305"/>
    </row>
    <row r="417" spans="2:22" s="292" customFormat="1">
      <c r="S417" s="305"/>
      <c r="T417" s="305"/>
      <c r="U417" s="305"/>
      <c r="V417" s="305"/>
    </row>
    <row r="418" spans="2:22" s="292" customFormat="1">
      <c r="S418" s="305"/>
      <c r="T418" s="305"/>
      <c r="U418" s="305"/>
      <c r="V418" s="305"/>
    </row>
    <row r="419" spans="2:22" s="292" customFormat="1">
      <c r="B419" s="303"/>
      <c r="P419" s="304"/>
      <c r="S419" s="305"/>
      <c r="T419" s="305"/>
      <c r="U419" s="305"/>
      <c r="V419" s="305"/>
    </row>
    <row r="420" spans="2:22" s="292" customFormat="1">
      <c r="S420" s="305"/>
      <c r="T420" s="305"/>
      <c r="U420" s="305"/>
      <c r="V420" s="305"/>
    </row>
    <row r="421" spans="2:22" s="292" customFormat="1">
      <c r="S421" s="305"/>
      <c r="T421" s="305"/>
      <c r="U421" s="305"/>
      <c r="V421" s="305"/>
    </row>
    <row r="422" spans="2:22" s="292" customFormat="1">
      <c r="B422" s="303"/>
      <c r="P422" s="304"/>
      <c r="S422" s="305"/>
      <c r="T422" s="305"/>
      <c r="U422" s="305"/>
      <c r="V422" s="305"/>
    </row>
    <row r="423" spans="2:22" s="292" customFormat="1">
      <c r="S423" s="305"/>
      <c r="T423" s="305"/>
      <c r="U423" s="305"/>
      <c r="V423" s="305"/>
    </row>
    <row r="424" spans="2:22" s="292" customFormat="1">
      <c r="S424" s="305"/>
      <c r="T424" s="305"/>
      <c r="U424" s="305"/>
      <c r="V424" s="305"/>
    </row>
    <row r="425" spans="2:22" s="292" customFormat="1">
      <c r="B425" s="303"/>
      <c r="P425" s="304"/>
      <c r="S425" s="305"/>
      <c r="T425" s="305"/>
      <c r="U425" s="305"/>
      <c r="V425" s="305"/>
    </row>
    <row r="426" spans="2:22" s="292" customFormat="1">
      <c r="S426" s="305"/>
      <c r="T426" s="305"/>
      <c r="U426" s="305"/>
      <c r="V426" s="305"/>
    </row>
    <row r="427" spans="2:22" s="292" customFormat="1">
      <c r="S427" s="305"/>
      <c r="T427" s="305"/>
      <c r="U427" s="305"/>
      <c r="V427" s="305"/>
    </row>
    <row r="428" spans="2:22" s="292" customFormat="1">
      <c r="B428" s="303"/>
      <c r="P428" s="304"/>
      <c r="S428" s="305"/>
      <c r="T428" s="305"/>
      <c r="U428" s="305"/>
      <c r="V428" s="305"/>
    </row>
    <row r="429" spans="2:22" s="292" customFormat="1">
      <c r="S429" s="305"/>
      <c r="T429" s="305"/>
      <c r="U429" s="305"/>
      <c r="V429" s="305"/>
    </row>
    <row r="430" spans="2:22" s="292" customFormat="1">
      <c r="S430" s="305"/>
      <c r="T430" s="305"/>
      <c r="U430" s="305"/>
      <c r="V430" s="305"/>
    </row>
    <row r="431" spans="2:22" s="292" customFormat="1">
      <c r="B431" s="303"/>
      <c r="P431" s="304"/>
      <c r="S431" s="305"/>
      <c r="T431" s="305"/>
      <c r="U431" s="305"/>
      <c r="V431" s="305"/>
    </row>
    <row r="432" spans="2:22" s="292" customFormat="1">
      <c r="S432" s="305"/>
      <c r="T432" s="305"/>
      <c r="U432" s="305"/>
      <c r="V432" s="305"/>
    </row>
    <row r="433" spans="2:22" s="292" customFormat="1">
      <c r="S433" s="305"/>
      <c r="T433" s="305"/>
      <c r="U433" s="305"/>
      <c r="V433" s="305"/>
    </row>
    <row r="434" spans="2:22" s="292" customFormat="1">
      <c r="B434" s="303"/>
      <c r="P434" s="304"/>
      <c r="S434" s="305"/>
      <c r="T434" s="305"/>
      <c r="U434" s="305"/>
      <c r="V434" s="305"/>
    </row>
    <row r="435" spans="2:22" s="292" customFormat="1">
      <c r="S435" s="305"/>
      <c r="T435" s="305"/>
      <c r="U435" s="305"/>
      <c r="V435" s="305"/>
    </row>
    <row r="436" spans="2:22" s="292" customFormat="1">
      <c r="S436" s="305"/>
      <c r="T436" s="305"/>
      <c r="U436" s="305"/>
      <c r="V436" s="305"/>
    </row>
    <row r="437" spans="2:22" s="292" customFormat="1">
      <c r="B437" s="303"/>
      <c r="P437" s="304"/>
      <c r="S437" s="305"/>
      <c r="T437" s="305"/>
      <c r="U437" s="305"/>
      <c r="V437" s="305"/>
    </row>
    <row r="438" spans="2:22" s="292" customFormat="1">
      <c r="S438" s="305"/>
      <c r="T438" s="305"/>
      <c r="U438" s="305"/>
      <c r="V438" s="305"/>
    </row>
    <row r="439" spans="2:22" s="292" customFormat="1">
      <c r="S439" s="305"/>
      <c r="T439" s="305"/>
      <c r="U439" s="305"/>
      <c r="V439" s="305"/>
    </row>
    <row r="440" spans="2:22" s="292" customFormat="1">
      <c r="B440" s="303"/>
      <c r="P440" s="304"/>
      <c r="S440" s="305"/>
      <c r="T440" s="305"/>
      <c r="U440" s="305"/>
      <c r="V440" s="305"/>
    </row>
    <row r="441" spans="2:22" s="292" customFormat="1">
      <c r="S441" s="305"/>
      <c r="T441" s="305"/>
      <c r="U441" s="305"/>
      <c r="V441" s="305"/>
    </row>
    <row r="442" spans="2:22" s="292" customFormat="1">
      <c r="S442" s="305"/>
      <c r="T442" s="305"/>
      <c r="U442" s="305"/>
      <c r="V442" s="305"/>
    </row>
    <row r="443" spans="2:22" s="292" customFormat="1">
      <c r="B443" s="303"/>
      <c r="P443" s="304"/>
      <c r="S443" s="305"/>
      <c r="T443" s="305"/>
      <c r="U443" s="305"/>
      <c r="V443" s="305"/>
    </row>
    <row r="444" spans="2:22" s="292" customFormat="1">
      <c r="S444" s="305"/>
      <c r="T444" s="305"/>
      <c r="U444" s="305"/>
      <c r="V444" s="305"/>
    </row>
    <row r="445" spans="2:22" s="292" customFormat="1">
      <c r="S445" s="305"/>
      <c r="T445" s="305"/>
      <c r="U445" s="305"/>
      <c r="V445" s="305"/>
    </row>
    <row r="446" spans="2:22" s="292" customFormat="1">
      <c r="B446" s="303"/>
      <c r="P446" s="304"/>
      <c r="S446" s="305"/>
      <c r="T446" s="305"/>
      <c r="U446" s="305"/>
      <c r="V446" s="305"/>
    </row>
    <row r="447" spans="2:22" s="292" customFormat="1">
      <c r="S447" s="305"/>
      <c r="T447" s="305"/>
      <c r="U447" s="305"/>
      <c r="V447" s="305"/>
    </row>
    <row r="448" spans="2:22" s="292" customFormat="1">
      <c r="S448" s="305"/>
      <c r="T448" s="305"/>
      <c r="U448" s="305"/>
      <c r="V448" s="305"/>
    </row>
    <row r="449" spans="2:22" s="292" customFormat="1">
      <c r="B449" s="303"/>
      <c r="P449" s="304"/>
      <c r="S449" s="305"/>
      <c r="T449" s="305"/>
      <c r="U449" s="305"/>
      <c r="V449" s="305"/>
    </row>
    <row r="450" spans="2:22" s="292" customFormat="1">
      <c r="S450" s="305"/>
      <c r="T450" s="305"/>
      <c r="U450" s="305"/>
      <c r="V450" s="305"/>
    </row>
    <row r="451" spans="2:22" s="292" customFormat="1">
      <c r="S451" s="305"/>
      <c r="T451" s="305"/>
      <c r="U451" s="305"/>
      <c r="V451" s="305"/>
    </row>
    <row r="452" spans="2:22" s="292" customFormat="1">
      <c r="B452" s="303"/>
      <c r="P452" s="304"/>
      <c r="S452" s="305"/>
      <c r="T452" s="305"/>
      <c r="U452" s="305"/>
      <c r="V452" s="305"/>
    </row>
    <row r="453" spans="2:22" s="292" customFormat="1">
      <c r="S453" s="305"/>
      <c r="T453" s="305"/>
      <c r="U453" s="305"/>
      <c r="V453" s="305"/>
    </row>
    <row r="454" spans="2:22" s="292" customFormat="1">
      <c r="S454" s="305"/>
      <c r="T454" s="305"/>
      <c r="U454" s="305"/>
      <c r="V454" s="305"/>
    </row>
    <row r="455" spans="2:22" s="292" customFormat="1">
      <c r="B455" s="303"/>
      <c r="P455" s="304"/>
      <c r="S455" s="305"/>
      <c r="T455" s="305"/>
      <c r="U455" s="305"/>
      <c r="V455" s="305"/>
    </row>
    <row r="456" spans="2:22" s="292" customFormat="1">
      <c r="S456" s="305"/>
      <c r="T456" s="305"/>
      <c r="U456" s="305"/>
      <c r="V456" s="305"/>
    </row>
    <row r="457" spans="2:22" s="292" customFormat="1">
      <c r="S457" s="305"/>
      <c r="T457" s="305"/>
      <c r="U457" s="305"/>
      <c r="V457" s="305"/>
    </row>
    <row r="458" spans="2:22" s="292" customFormat="1">
      <c r="B458" s="303"/>
      <c r="P458" s="304"/>
      <c r="S458" s="305"/>
      <c r="T458" s="305"/>
      <c r="U458" s="305"/>
      <c r="V458" s="305"/>
    </row>
    <row r="459" spans="2:22" s="292" customFormat="1">
      <c r="S459" s="305"/>
      <c r="T459" s="305"/>
      <c r="U459" s="305"/>
      <c r="V459" s="305"/>
    </row>
    <row r="460" spans="2:22" s="292" customFormat="1">
      <c r="S460" s="305"/>
      <c r="T460" s="305"/>
      <c r="U460" s="305"/>
      <c r="V460" s="305"/>
    </row>
    <row r="461" spans="2:22" s="292" customFormat="1">
      <c r="B461" s="303"/>
      <c r="P461" s="304"/>
      <c r="S461" s="305"/>
      <c r="T461" s="305"/>
      <c r="U461" s="305"/>
      <c r="V461" s="305"/>
    </row>
    <row r="462" spans="2:22" s="292" customFormat="1">
      <c r="S462" s="305"/>
      <c r="T462" s="305"/>
      <c r="U462" s="305"/>
      <c r="V462" s="305"/>
    </row>
    <row r="463" spans="2:22" s="292" customFormat="1">
      <c r="S463" s="305"/>
      <c r="T463" s="305"/>
      <c r="U463" s="305"/>
      <c r="V463" s="305"/>
    </row>
    <row r="464" spans="2:22" s="292" customFormat="1">
      <c r="B464" s="303"/>
      <c r="P464" s="304"/>
      <c r="S464" s="305"/>
      <c r="T464" s="305"/>
      <c r="U464" s="305"/>
      <c r="V464" s="305"/>
    </row>
    <row r="465" spans="2:22" s="292" customFormat="1">
      <c r="S465" s="305"/>
      <c r="T465" s="305"/>
      <c r="U465" s="305"/>
      <c r="V465" s="305"/>
    </row>
    <row r="466" spans="2:22" s="292" customFormat="1">
      <c r="S466" s="305"/>
      <c r="T466" s="305"/>
      <c r="U466" s="305"/>
      <c r="V466" s="305"/>
    </row>
    <row r="467" spans="2:22" s="292" customFormat="1">
      <c r="B467" s="303"/>
      <c r="P467" s="304"/>
      <c r="S467" s="305"/>
      <c r="T467" s="305"/>
      <c r="U467" s="305"/>
      <c r="V467" s="305"/>
    </row>
    <row r="468" spans="2:22" s="292" customFormat="1">
      <c r="S468" s="305"/>
      <c r="T468" s="305"/>
      <c r="U468" s="305"/>
      <c r="V468" s="305"/>
    </row>
    <row r="469" spans="2:22" s="292" customFormat="1">
      <c r="S469" s="305"/>
      <c r="T469" s="305"/>
      <c r="U469" s="305"/>
      <c r="V469" s="305"/>
    </row>
    <row r="470" spans="2:22" s="292" customFormat="1">
      <c r="B470" s="303"/>
      <c r="P470" s="304"/>
      <c r="S470" s="305"/>
      <c r="T470" s="305"/>
      <c r="U470" s="305"/>
      <c r="V470" s="305"/>
    </row>
    <row r="471" spans="2:22" s="292" customFormat="1">
      <c r="S471" s="305"/>
      <c r="T471" s="305"/>
      <c r="U471" s="305"/>
      <c r="V471" s="305"/>
    </row>
    <row r="472" spans="2:22" s="292" customFormat="1">
      <c r="S472" s="305"/>
      <c r="T472" s="305"/>
      <c r="U472" s="305"/>
      <c r="V472" s="305"/>
    </row>
    <row r="473" spans="2:22" s="292" customFormat="1">
      <c r="B473" s="303"/>
      <c r="P473" s="304"/>
      <c r="S473" s="305"/>
      <c r="T473" s="305"/>
      <c r="U473" s="305"/>
      <c r="V473" s="305"/>
    </row>
    <row r="474" spans="2:22" s="292" customFormat="1">
      <c r="S474" s="305"/>
      <c r="T474" s="305"/>
      <c r="U474" s="305"/>
      <c r="V474" s="305"/>
    </row>
    <row r="475" spans="2:22" s="292" customFormat="1">
      <c r="S475" s="305"/>
      <c r="T475" s="305"/>
      <c r="U475" s="305"/>
      <c r="V475" s="305"/>
    </row>
    <row r="476" spans="2:22" s="292" customFormat="1">
      <c r="B476" s="303"/>
      <c r="P476" s="304"/>
      <c r="S476" s="305"/>
      <c r="T476" s="305"/>
      <c r="U476" s="305"/>
      <c r="V476" s="305"/>
    </row>
    <row r="477" spans="2:22" s="292" customFormat="1">
      <c r="S477" s="305"/>
      <c r="T477" s="305"/>
      <c r="U477" s="305"/>
      <c r="V477" s="305"/>
    </row>
    <row r="478" spans="2:22" s="292" customFormat="1">
      <c r="S478" s="305"/>
      <c r="T478" s="305"/>
      <c r="U478" s="305"/>
      <c r="V478" s="305"/>
    </row>
    <row r="479" spans="2:22" s="292" customFormat="1">
      <c r="B479" s="303"/>
      <c r="P479" s="304"/>
      <c r="S479" s="305"/>
      <c r="T479" s="305"/>
      <c r="U479" s="305"/>
      <c r="V479" s="305"/>
    </row>
    <row r="480" spans="2:22" s="292" customFormat="1">
      <c r="S480" s="305"/>
      <c r="T480" s="305"/>
      <c r="U480" s="305"/>
      <c r="V480" s="305"/>
    </row>
    <row r="481" spans="2:22" s="292" customFormat="1">
      <c r="S481" s="305"/>
      <c r="T481" s="305"/>
      <c r="U481" s="305"/>
      <c r="V481" s="305"/>
    </row>
    <row r="482" spans="2:22" s="292" customFormat="1">
      <c r="B482" s="303"/>
      <c r="P482" s="304"/>
      <c r="S482" s="305"/>
      <c r="T482" s="305"/>
      <c r="U482" s="305"/>
      <c r="V482" s="305"/>
    </row>
    <row r="483" spans="2:22" s="292" customFormat="1">
      <c r="S483" s="305"/>
      <c r="T483" s="305"/>
      <c r="U483" s="305"/>
      <c r="V483" s="305"/>
    </row>
    <row r="484" spans="2:22" s="292" customFormat="1">
      <c r="S484" s="305"/>
      <c r="T484" s="305"/>
      <c r="U484" s="305"/>
      <c r="V484" s="305"/>
    </row>
    <row r="485" spans="2:22" s="292" customFormat="1">
      <c r="B485" s="303"/>
      <c r="P485" s="304"/>
      <c r="S485" s="305"/>
      <c r="T485" s="305"/>
      <c r="U485" s="305"/>
      <c r="V485" s="305"/>
    </row>
    <row r="486" spans="2:22" s="292" customFormat="1">
      <c r="S486" s="305"/>
      <c r="T486" s="305"/>
      <c r="U486" s="305"/>
      <c r="V486" s="305"/>
    </row>
    <row r="487" spans="2:22" s="292" customFormat="1">
      <c r="S487" s="305"/>
      <c r="T487" s="305"/>
      <c r="U487" s="305"/>
      <c r="V487" s="305"/>
    </row>
    <row r="488" spans="2:22" s="292" customFormat="1">
      <c r="B488" s="303"/>
      <c r="P488" s="304"/>
      <c r="S488" s="305"/>
      <c r="T488" s="305"/>
      <c r="U488" s="305"/>
      <c r="V488" s="305"/>
    </row>
    <row r="489" spans="2:22" s="292" customFormat="1">
      <c r="S489" s="305"/>
      <c r="T489" s="305"/>
      <c r="U489" s="305"/>
      <c r="V489" s="305"/>
    </row>
    <row r="490" spans="2:22" s="292" customFormat="1">
      <c r="S490" s="305"/>
      <c r="T490" s="305"/>
      <c r="U490" s="305"/>
      <c r="V490" s="305"/>
    </row>
    <row r="491" spans="2:22" s="292" customFormat="1">
      <c r="B491" s="303"/>
      <c r="P491" s="304"/>
      <c r="S491" s="305"/>
      <c r="T491" s="305"/>
      <c r="U491" s="305"/>
      <c r="V491" s="305"/>
    </row>
    <row r="492" spans="2:22" s="292" customFormat="1">
      <c r="S492" s="305"/>
      <c r="T492" s="305"/>
      <c r="U492" s="305"/>
      <c r="V492" s="305"/>
    </row>
    <row r="493" spans="2:22" s="292" customFormat="1">
      <c r="S493" s="305"/>
      <c r="T493" s="305"/>
      <c r="U493" s="305"/>
      <c r="V493" s="305"/>
    </row>
    <row r="494" spans="2:22" s="292" customFormat="1">
      <c r="B494" s="303"/>
      <c r="P494" s="304"/>
      <c r="S494" s="305"/>
      <c r="T494" s="305"/>
      <c r="U494" s="305"/>
      <c r="V494" s="305"/>
    </row>
    <row r="495" spans="2:22" s="292" customFormat="1">
      <c r="S495" s="305"/>
      <c r="T495" s="305"/>
      <c r="U495" s="305"/>
      <c r="V495" s="305"/>
    </row>
    <row r="496" spans="2:22" s="292" customFormat="1">
      <c r="S496" s="305"/>
      <c r="T496" s="305"/>
      <c r="U496" s="305"/>
      <c r="V496" s="305"/>
    </row>
    <row r="497" spans="2:22" s="292" customFormat="1">
      <c r="B497" s="303"/>
      <c r="P497" s="304"/>
      <c r="S497" s="305"/>
      <c r="T497" s="305"/>
      <c r="U497" s="305"/>
      <c r="V497" s="305"/>
    </row>
    <row r="498" spans="2:22" s="292" customFormat="1">
      <c r="S498" s="305"/>
      <c r="T498" s="305"/>
      <c r="U498" s="305"/>
      <c r="V498" s="305"/>
    </row>
    <row r="499" spans="2:22" s="292" customFormat="1">
      <c r="S499" s="305"/>
      <c r="T499" s="305"/>
      <c r="U499" s="305"/>
      <c r="V499" s="305"/>
    </row>
    <row r="500" spans="2:22" s="292" customFormat="1">
      <c r="B500" s="303"/>
      <c r="P500" s="304"/>
      <c r="S500" s="305"/>
      <c r="T500" s="305"/>
      <c r="U500" s="305"/>
      <c r="V500" s="305"/>
    </row>
    <row r="501" spans="2:22" s="292" customFormat="1">
      <c r="S501" s="305"/>
      <c r="T501" s="305"/>
      <c r="U501" s="305"/>
      <c r="V501" s="305"/>
    </row>
    <row r="502" spans="2:22" s="292" customFormat="1">
      <c r="S502" s="305"/>
      <c r="T502" s="305"/>
      <c r="U502" s="305"/>
      <c r="V502" s="305"/>
    </row>
    <row r="503" spans="2:22" s="292" customFormat="1">
      <c r="B503" s="303"/>
      <c r="P503" s="304"/>
      <c r="S503" s="305"/>
      <c r="T503" s="305"/>
      <c r="U503" s="305"/>
      <c r="V503" s="305"/>
    </row>
    <row r="504" spans="2:22" s="292" customFormat="1">
      <c r="S504" s="305"/>
      <c r="T504" s="305"/>
      <c r="U504" s="305"/>
      <c r="V504" s="305"/>
    </row>
    <row r="505" spans="2:22" s="292" customFormat="1">
      <c r="S505" s="305"/>
      <c r="T505" s="305"/>
      <c r="U505" s="305"/>
      <c r="V505" s="305"/>
    </row>
    <row r="506" spans="2:22" s="292" customFormat="1">
      <c r="B506" s="303"/>
      <c r="P506" s="304"/>
      <c r="S506" s="305"/>
      <c r="T506" s="305"/>
      <c r="U506" s="305"/>
      <c r="V506" s="305"/>
    </row>
    <row r="507" spans="2:22" s="292" customFormat="1">
      <c r="S507" s="305"/>
      <c r="T507" s="305"/>
      <c r="U507" s="305"/>
      <c r="V507" s="305"/>
    </row>
    <row r="508" spans="2:22" s="292" customFormat="1">
      <c r="S508" s="305"/>
      <c r="T508" s="305"/>
      <c r="U508" s="305"/>
      <c r="V508" s="305"/>
    </row>
    <row r="509" spans="2:22" s="292" customFormat="1">
      <c r="B509" s="303"/>
      <c r="P509" s="304"/>
      <c r="S509" s="305"/>
      <c r="T509" s="305"/>
      <c r="U509" s="305"/>
      <c r="V509" s="305"/>
    </row>
    <row r="510" spans="2:22" s="292" customFormat="1">
      <c r="S510" s="305"/>
      <c r="T510" s="305"/>
      <c r="U510" s="305"/>
      <c r="V510" s="305"/>
    </row>
    <row r="511" spans="2:22" s="292" customFormat="1">
      <c r="S511" s="305"/>
      <c r="T511" s="305"/>
      <c r="U511" s="305"/>
      <c r="V511" s="305"/>
    </row>
    <row r="512" spans="2:22" s="292" customFormat="1">
      <c r="B512" s="303"/>
      <c r="P512" s="304"/>
      <c r="S512" s="305"/>
      <c r="T512" s="305"/>
      <c r="U512" s="305"/>
      <c r="V512" s="305"/>
    </row>
    <row r="513" spans="2:22" s="292" customFormat="1">
      <c r="S513" s="305"/>
      <c r="T513" s="305"/>
      <c r="U513" s="305"/>
      <c r="V513" s="305"/>
    </row>
    <row r="514" spans="2:22" s="292" customFormat="1">
      <c r="S514" s="305"/>
      <c r="T514" s="305"/>
      <c r="U514" s="305"/>
      <c r="V514" s="305"/>
    </row>
    <row r="515" spans="2:22" s="292" customFormat="1">
      <c r="B515" s="303"/>
      <c r="P515" s="304"/>
      <c r="S515" s="305"/>
      <c r="T515" s="305"/>
      <c r="U515" s="305"/>
      <c r="V515" s="305"/>
    </row>
    <row r="516" spans="2:22" s="292" customFormat="1">
      <c r="S516" s="305"/>
      <c r="T516" s="305"/>
      <c r="U516" s="305"/>
      <c r="V516" s="305"/>
    </row>
    <row r="517" spans="2:22" s="292" customFormat="1">
      <c r="S517" s="305"/>
      <c r="T517" s="305"/>
      <c r="U517" s="305"/>
      <c r="V517" s="305"/>
    </row>
    <row r="518" spans="2:22" s="292" customFormat="1">
      <c r="B518" s="303"/>
      <c r="P518" s="304"/>
      <c r="S518" s="305"/>
      <c r="T518" s="305"/>
      <c r="U518" s="305"/>
      <c r="V518" s="305"/>
    </row>
    <row r="519" spans="2:22" s="292" customFormat="1">
      <c r="S519" s="305"/>
      <c r="T519" s="305"/>
      <c r="U519" s="305"/>
      <c r="V519" s="305"/>
    </row>
    <row r="520" spans="2:22" s="292" customFormat="1">
      <c r="S520" s="305"/>
      <c r="T520" s="305"/>
      <c r="U520" s="305"/>
      <c r="V520" s="305"/>
    </row>
    <row r="521" spans="2:22" s="292" customFormat="1">
      <c r="B521" s="303"/>
      <c r="P521" s="304"/>
      <c r="S521" s="305"/>
      <c r="T521" s="305"/>
      <c r="U521" s="305"/>
      <c r="V521" s="305"/>
    </row>
    <row r="522" spans="2:22" s="292" customFormat="1">
      <c r="S522" s="305"/>
      <c r="T522" s="305"/>
      <c r="U522" s="305"/>
      <c r="V522" s="305"/>
    </row>
    <row r="523" spans="2:22" s="292" customFormat="1">
      <c r="S523" s="305"/>
      <c r="T523" s="305"/>
      <c r="U523" s="305"/>
      <c r="V523" s="305"/>
    </row>
    <row r="524" spans="2:22" s="292" customFormat="1">
      <c r="B524" s="303"/>
      <c r="P524" s="304"/>
      <c r="S524" s="305"/>
      <c r="T524" s="305"/>
      <c r="U524" s="305"/>
      <c r="V524" s="305"/>
    </row>
    <row r="525" spans="2:22" s="292" customFormat="1">
      <c r="S525" s="305"/>
      <c r="T525" s="305"/>
      <c r="U525" s="305"/>
      <c r="V525" s="305"/>
    </row>
    <row r="526" spans="2:22" s="292" customFormat="1">
      <c r="S526" s="305"/>
      <c r="T526" s="305"/>
      <c r="U526" s="305"/>
      <c r="V526" s="305"/>
    </row>
    <row r="527" spans="2:22" s="292" customFormat="1">
      <c r="B527" s="303"/>
      <c r="P527" s="304"/>
      <c r="S527" s="305"/>
      <c r="T527" s="305"/>
      <c r="U527" s="305"/>
      <c r="V527" s="305"/>
    </row>
    <row r="528" spans="2:22" s="292" customFormat="1">
      <c r="S528" s="305"/>
      <c r="T528" s="305"/>
      <c r="U528" s="305"/>
      <c r="V528" s="305"/>
    </row>
    <row r="529" spans="2:22" s="292" customFormat="1">
      <c r="S529" s="305"/>
      <c r="T529" s="305"/>
      <c r="U529" s="305"/>
      <c r="V529" s="305"/>
    </row>
    <row r="530" spans="2:22" s="292" customFormat="1">
      <c r="B530" s="303"/>
      <c r="P530" s="304"/>
      <c r="S530" s="305"/>
      <c r="T530" s="305"/>
      <c r="U530" s="305"/>
      <c r="V530" s="305"/>
    </row>
    <row r="531" spans="2:22" s="292" customFormat="1">
      <c r="S531" s="305"/>
      <c r="T531" s="305"/>
      <c r="U531" s="305"/>
      <c r="V531" s="305"/>
    </row>
    <row r="532" spans="2:22" s="292" customFormat="1">
      <c r="S532" s="305"/>
      <c r="T532" s="305"/>
      <c r="U532" s="305"/>
      <c r="V532" s="305"/>
    </row>
    <row r="533" spans="2:22" s="292" customFormat="1">
      <c r="B533" s="303"/>
      <c r="P533" s="304"/>
      <c r="S533" s="305"/>
      <c r="T533" s="305"/>
      <c r="U533" s="305"/>
      <c r="V533" s="305"/>
    </row>
    <row r="534" spans="2:22" s="292" customFormat="1">
      <c r="S534" s="305"/>
      <c r="T534" s="305"/>
      <c r="U534" s="305"/>
      <c r="V534" s="305"/>
    </row>
    <row r="535" spans="2:22" s="292" customFormat="1">
      <c r="S535" s="305"/>
      <c r="T535" s="305"/>
      <c r="U535" s="305"/>
      <c r="V535" s="305"/>
    </row>
    <row r="536" spans="2:22" s="292" customFormat="1">
      <c r="B536" s="303"/>
      <c r="P536" s="304"/>
      <c r="S536" s="305"/>
      <c r="T536" s="305"/>
      <c r="U536" s="305"/>
      <c r="V536" s="305"/>
    </row>
    <row r="537" spans="2:22" s="292" customFormat="1">
      <c r="S537" s="305"/>
      <c r="T537" s="305"/>
      <c r="U537" s="305"/>
      <c r="V537" s="305"/>
    </row>
    <row r="538" spans="2:22" s="292" customFormat="1">
      <c r="S538" s="305"/>
      <c r="T538" s="305"/>
      <c r="U538" s="305"/>
      <c r="V538" s="305"/>
    </row>
    <row r="539" spans="2:22" s="292" customFormat="1">
      <c r="B539" s="303"/>
      <c r="P539" s="304"/>
      <c r="S539" s="305"/>
      <c r="T539" s="305"/>
      <c r="U539" s="305"/>
      <c r="V539" s="305"/>
    </row>
    <row r="540" spans="2:22" s="292" customFormat="1">
      <c r="S540" s="305"/>
      <c r="T540" s="305"/>
      <c r="U540" s="305"/>
      <c r="V540" s="305"/>
    </row>
    <row r="541" spans="2:22" s="292" customFormat="1">
      <c r="S541" s="305"/>
      <c r="T541" s="305"/>
      <c r="U541" s="305"/>
      <c r="V541" s="305"/>
    </row>
    <row r="542" spans="2:22" s="292" customFormat="1">
      <c r="B542" s="303"/>
      <c r="P542" s="304"/>
      <c r="S542" s="305"/>
      <c r="T542" s="305"/>
      <c r="U542" s="305"/>
      <c r="V542" s="305"/>
    </row>
    <row r="543" spans="2:22" s="292" customFormat="1">
      <c r="S543" s="305"/>
      <c r="T543" s="305"/>
      <c r="U543" s="305"/>
      <c r="V543" s="305"/>
    </row>
    <row r="544" spans="2:22" s="292" customFormat="1">
      <c r="S544" s="305"/>
      <c r="T544" s="305"/>
      <c r="U544" s="305"/>
      <c r="V544" s="305"/>
    </row>
    <row r="545" spans="2:22" s="292" customFormat="1">
      <c r="B545" s="303"/>
      <c r="P545" s="304"/>
      <c r="S545" s="305"/>
      <c r="T545" s="305"/>
      <c r="U545" s="305"/>
      <c r="V545" s="305"/>
    </row>
    <row r="546" spans="2:22" s="292" customFormat="1">
      <c r="S546" s="305"/>
      <c r="T546" s="305"/>
      <c r="U546" s="305"/>
      <c r="V546" s="305"/>
    </row>
    <row r="547" spans="2:22" s="292" customFormat="1">
      <c r="S547" s="305"/>
      <c r="T547" s="305"/>
      <c r="U547" s="305"/>
      <c r="V547" s="305"/>
    </row>
    <row r="548" spans="2:22" s="292" customFormat="1">
      <c r="B548" s="303"/>
      <c r="P548" s="304"/>
      <c r="S548" s="305"/>
      <c r="T548" s="305"/>
      <c r="U548" s="305"/>
      <c r="V548" s="305"/>
    </row>
    <row r="549" spans="2:22" s="292" customFormat="1">
      <c r="S549" s="305"/>
      <c r="T549" s="305"/>
      <c r="U549" s="305"/>
      <c r="V549" s="305"/>
    </row>
    <row r="550" spans="2:22" s="292" customFormat="1">
      <c r="S550" s="305"/>
      <c r="T550" s="305"/>
      <c r="U550" s="305"/>
      <c r="V550" s="305"/>
    </row>
    <row r="551" spans="2:22" s="292" customFormat="1">
      <c r="B551" s="303"/>
      <c r="P551" s="304"/>
      <c r="S551" s="305"/>
      <c r="T551" s="305"/>
      <c r="U551" s="305"/>
      <c r="V551" s="305"/>
    </row>
    <row r="552" spans="2:22" s="292" customFormat="1">
      <c r="S552" s="305"/>
      <c r="T552" s="305"/>
      <c r="U552" s="305"/>
      <c r="V552" s="305"/>
    </row>
    <row r="553" spans="2:22" s="292" customFormat="1">
      <c r="S553" s="305"/>
      <c r="T553" s="305"/>
      <c r="U553" s="305"/>
      <c r="V553" s="305"/>
    </row>
    <row r="554" spans="2:22" s="292" customFormat="1">
      <c r="B554" s="303"/>
      <c r="P554" s="304"/>
      <c r="S554" s="305"/>
      <c r="T554" s="305"/>
      <c r="U554" s="305"/>
      <c r="V554" s="305"/>
    </row>
    <row r="555" spans="2:22" s="292" customFormat="1">
      <c r="S555" s="305"/>
      <c r="T555" s="305"/>
      <c r="U555" s="305"/>
      <c r="V555" s="305"/>
    </row>
    <row r="556" spans="2:22" s="292" customFormat="1">
      <c r="S556" s="305"/>
      <c r="T556" s="305"/>
      <c r="U556" s="305"/>
      <c r="V556" s="305"/>
    </row>
    <row r="557" spans="2:22" s="292" customFormat="1">
      <c r="B557" s="303"/>
      <c r="P557" s="304"/>
      <c r="S557" s="305"/>
      <c r="T557" s="305"/>
      <c r="U557" s="305"/>
      <c r="V557" s="305"/>
    </row>
    <row r="558" spans="2:22" s="292" customFormat="1">
      <c r="S558" s="305"/>
      <c r="T558" s="305"/>
      <c r="U558" s="305"/>
      <c r="V558" s="305"/>
    </row>
    <row r="559" spans="2:22" s="292" customFormat="1">
      <c r="S559" s="305"/>
      <c r="T559" s="305"/>
      <c r="U559" s="305"/>
      <c r="V559" s="305"/>
    </row>
    <row r="560" spans="2:22" s="292" customFormat="1">
      <c r="B560" s="303"/>
      <c r="P560" s="304"/>
      <c r="S560" s="305"/>
      <c r="T560" s="305"/>
      <c r="U560" s="305"/>
      <c r="V560" s="305"/>
    </row>
    <row r="561" spans="2:22" s="292" customFormat="1">
      <c r="S561" s="305"/>
      <c r="T561" s="305"/>
      <c r="U561" s="305"/>
      <c r="V561" s="305"/>
    </row>
    <row r="562" spans="2:22" s="292" customFormat="1">
      <c r="S562" s="305"/>
      <c r="T562" s="305"/>
      <c r="U562" s="305"/>
      <c r="V562" s="305"/>
    </row>
    <row r="563" spans="2:22" s="292" customFormat="1">
      <c r="B563" s="303"/>
      <c r="P563" s="304"/>
      <c r="S563" s="305"/>
      <c r="T563" s="305"/>
      <c r="U563" s="305"/>
      <c r="V563" s="305"/>
    </row>
    <row r="564" spans="2:22" s="292" customFormat="1">
      <c r="S564" s="305"/>
      <c r="T564" s="305"/>
      <c r="U564" s="305"/>
      <c r="V564" s="305"/>
    </row>
    <row r="565" spans="2:22" s="292" customFormat="1">
      <c r="S565" s="305"/>
      <c r="T565" s="305"/>
      <c r="U565" s="305"/>
      <c r="V565" s="305"/>
    </row>
    <row r="566" spans="2:22" s="292" customFormat="1">
      <c r="B566" s="303"/>
      <c r="P566" s="304"/>
      <c r="S566" s="305"/>
      <c r="T566" s="305"/>
      <c r="U566" s="305"/>
      <c r="V566" s="305"/>
    </row>
    <row r="567" spans="2:22" s="292" customFormat="1">
      <c r="S567" s="305"/>
      <c r="T567" s="305"/>
      <c r="U567" s="305"/>
      <c r="V567" s="305"/>
    </row>
    <row r="568" spans="2:22" s="292" customFormat="1">
      <c r="S568" s="305"/>
      <c r="T568" s="305"/>
      <c r="U568" s="305"/>
      <c r="V568" s="305"/>
    </row>
    <row r="569" spans="2:22" s="292" customFormat="1">
      <c r="B569" s="303"/>
      <c r="P569" s="304"/>
      <c r="S569" s="305"/>
      <c r="T569" s="305"/>
      <c r="U569" s="305"/>
      <c r="V569" s="305"/>
    </row>
    <row r="570" spans="2:22" s="292" customFormat="1">
      <c r="S570" s="305"/>
      <c r="T570" s="305"/>
      <c r="U570" s="305"/>
      <c r="V570" s="305"/>
    </row>
    <row r="571" spans="2:22" s="292" customFormat="1">
      <c r="S571" s="305"/>
      <c r="T571" s="305"/>
      <c r="U571" s="305"/>
      <c r="V571" s="305"/>
    </row>
    <row r="572" spans="2:22" s="292" customFormat="1">
      <c r="B572" s="303"/>
      <c r="P572" s="304"/>
      <c r="S572" s="305"/>
      <c r="T572" s="305"/>
      <c r="U572" s="305"/>
      <c r="V572" s="305"/>
    </row>
    <row r="573" spans="2:22" s="292" customFormat="1">
      <c r="S573" s="305"/>
      <c r="T573" s="305"/>
      <c r="U573" s="305"/>
      <c r="V573" s="305"/>
    </row>
    <row r="574" spans="2:22" s="292" customFormat="1">
      <c r="S574" s="305"/>
      <c r="T574" s="305"/>
      <c r="U574" s="305"/>
      <c r="V574" s="305"/>
    </row>
    <row r="575" spans="2:22" s="292" customFormat="1">
      <c r="B575" s="303"/>
      <c r="P575" s="304"/>
      <c r="S575" s="305"/>
      <c r="T575" s="305"/>
      <c r="U575" s="305"/>
      <c r="V575" s="305"/>
    </row>
    <row r="576" spans="2:22" s="292" customFormat="1">
      <c r="S576" s="305"/>
      <c r="T576" s="305"/>
      <c r="U576" s="305"/>
      <c r="V576" s="305"/>
    </row>
    <row r="577" spans="2:22" s="292" customFormat="1">
      <c r="S577" s="305"/>
      <c r="T577" s="305"/>
      <c r="U577" s="305"/>
      <c r="V577" s="305"/>
    </row>
    <row r="578" spans="2:22" s="292" customFormat="1">
      <c r="B578" s="303"/>
      <c r="P578" s="304"/>
      <c r="S578" s="305"/>
      <c r="T578" s="305"/>
      <c r="U578" s="305"/>
      <c r="V578" s="305"/>
    </row>
    <row r="579" spans="2:22" s="292" customFormat="1">
      <c r="S579" s="305"/>
      <c r="T579" s="305"/>
      <c r="U579" s="305"/>
      <c r="V579" s="305"/>
    </row>
    <row r="580" spans="2:22" s="292" customFormat="1">
      <c r="S580" s="305"/>
      <c r="T580" s="305"/>
      <c r="U580" s="305"/>
      <c r="V580" s="305"/>
    </row>
    <row r="581" spans="2:22" s="292" customFormat="1">
      <c r="B581" s="303"/>
      <c r="P581" s="304"/>
      <c r="S581" s="305"/>
      <c r="T581" s="305"/>
      <c r="U581" s="305"/>
      <c r="V581" s="305"/>
    </row>
    <row r="582" spans="2:22" s="292" customFormat="1">
      <c r="S582" s="305"/>
      <c r="T582" s="305"/>
      <c r="U582" s="305"/>
      <c r="V582" s="305"/>
    </row>
    <row r="583" spans="2:22" s="292" customFormat="1">
      <c r="S583" s="305"/>
      <c r="T583" s="305"/>
      <c r="U583" s="305"/>
      <c r="V583" s="305"/>
    </row>
    <row r="584" spans="2:22" s="292" customFormat="1">
      <c r="B584" s="303"/>
      <c r="P584" s="304"/>
      <c r="S584" s="305"/>
      <c r="T584" s="305"/>
      <c r="U584" s="305"/>
      <c r="V584" s="305"/>
    </row>
    <row r="585" spans="2:22" s="292" customFormat="1">
      <c r="S585" s="305"/>
      <c r="T585" s="305"/>
      <c r="U585" s="305"/>
      <c r="V585" s="305"/>
    </row>
    <row r="586" spans="2:22" s="292" customFormat="1">
      <c r="S586" s="305"/>
      <c r="T586" s="305"/>
      <c r="U586" s="305"/>
      <c r="V586" s="305"/>
    </row>
    <row r="587" spans="2:22" s="292" customFormat="1">
      <c r="B587" s="303"/>
      <c r="P587" s="304"/>
      <c r="S587" s="305"/>
      <c r="T587" s="305"/>
      <c r="U587" s="305"/>
      <c r="V587" s="305"/>
    </row>
    <row r="588" spans="2:22" s="292" customFormat="1">
      <c r="S588" s="305"/>
      <c r="T588" s="305"/>
      <c r="U588" s="305"/>
      <c r="V588" s="305"/>
    </row>
    <row r="589" spans="2:22" s="292" customFormat="1">
      <c r="S589" s="305"/>
      <c r="T589" s="305"/>
      <c r="U589" s="305"/>
      <c r="V589" s="305"/>
    </row>
    <row r="590" spans="2:22" s="292" customFormat="1">
      <c r="B590" s="303"/>
      <c r="P590" s="304"/>
      <c r="S590" s="305"/>
      <c r="T590" s="305"/>
      <c r="U590" s="305"/>
      <c r="V590" s="305"/>
    </row>
    <row r="591" spans="2:22" s="292" customFormat="1">
      <c r="S591" s="305"/>
      <c r="T591" s="305"/>
      <c r="U591" s="305"/>
      <c r="V591" s="305"/>
    </row>
    <row r="592" spans="2:22" s="292" customFormat="1">
      <c r="S592" s="305"/>
      <c r="T592" s="305"/>
      <c r="U592" s="305"/>
      <c r="V592" s="305"/>
    </row>
    <row r="593" spans="2:22" s="292" customFormat="1">
      <c r="B593" s="303"/>
      <c r="P593" s="304"/>
      <c r="S593" s="305"/>
      <c r="T593" s="305"/>
      <c r="U593" s="305"/>
      <c r="V593" s="305"/>
    </row>
    <row r="594" spans="2:22" s="292" customFormat="1">
      <c r="S594" s="305"/>
      <c r="T594" s="305"/>
      <c r="U594" s="305"/>
      <c r="V594" s="305"/>
    </row>
    <row r="595" spans="2:22" s="292" customFormat="1">
      <c r="S595" s="305"/>
      <c r="T595" s="305"/>
      <c r="U595" s="305"/>
      <c r="V595" s="305"/>
    </row>
    <row r="596" spans="2:22" s="292" customFormat="1">
      <c r="B596" s="303"/>
      <c r="P596" s="304"/>
      <c r="S596" s="305"/>
      <c r="T596" s="305"/>
      <c r="U596" s="305"/>
      <c r="V596" s="305"/>
    </row>
    <row r="597" spans="2:22" s="292" customFormat="1">
      <c r="S597" s="305"/>
      <c r="T597" s="305"/>
      <c r="U597" s="305"/>
      <c r="V597" s="305"/>
    </row>
    <row r="598" spans="2:22" s="292" customFormat="1">
      <c r="S598" s="305"/>
      <c r="T598" s="305"/>
      <c r="U598" s="305"/>
      <c r="V598" s="305"/>
    </row>
    <row r="599" spans="2:22" s="292" customFormat="1">
      <c r="B599" s="303"/>
      <c r="P599" s="304"/>
      <c r="S599" s="305"/>
      <c r="T599" s="305"/>
      <c r="U599" s="305"/>
      <c r="V599" s="305"/>
    </row>
    <row r="600" spans="2:22" s="292" customFormat="1">
      <c r="S600" s="305"/>
      <c r="T600" s="305"/>
      <c r="U600" s="305"/>
      <c r="V600" s="305"/>
    </row>
    <row r="601" spans="2:22" s="292" customFormat="1">
      <c r="S601" s="305"/>
      <c r="T601" s="305"/>
      <c r="U601" s="305"/>
      <c r="V601" s="305"/>
    </row>
    <row r="602" spans="2:22" s="292" customFormat="1">
      <c r="B602" s="303"/>
      <c r="P602" s="304"/>
      <c r="S602" s="305"/>
      <c r="T602" s="305"/>
      <c r="U602" s="305"/>
      <c r="V602" s="305"/>
    </row>
    <row r="603" spans="2:22" s="292" customFormat="1">
      <c r="S603" s="305"/>
      <c r="T603" s="305"/>
      <c r="U603" s="305"/>
      <c r="V603" s="305"/>
    </row>
    <row r="604" spans="2:22" s="292" customFormat="1">
      <c r="S604" s="305"/>
      <c r="T604" s="305"/>
      <c r="U604" s="305"/>
      <c r="V604" s="305"/>
    </row>
    <row r="605" spans="2:22" s="292" customFormat="1">
      <c r="B605" s="303"/>
      <c r="P605" s="304"/>
      <c r="S605" s="305"/>
      <c r="T605" s="305"/>
      <c r="U605" s="305"/>
      <c r="V605" s="305"/>
    </row>
    <row r="606" spans="2:22" s="292" customFormat="1">
      <c r="S606" s="305"/>
      <c r="T606" s="305"/>
      <c r="U606" s="305"/>
      <c r="V606" s="305"/>
    </row>
    <row r="607" spans="2:22" s="292" customFormat="1">
      <c r="S607" s="305"/>
      <c r="T607" s="305"/>
      <c r="U607" s="305"/>
      <c r="V607" s="305"/>
    </row>
    <row r="608" spans="2:22" s="292" customFormat="1">
      <c r="B608" s="303"/>
      <c r="P608" s="304"/>
      <c r="S608" s="305"/>
      <c r="T608" s="305"/>
      <c r="U608" s="305"/>
      <c r="V608" s="305"/>
    </row>
    <row r="609" spans="2:22" s="292" customFormat="1">
      <c r="S609" s="305"/>
      <c r="T609" s="305"/>
      <c r="U609" s="305"/>
      <c r="V609" s="305"/>
    </row>
    <row r="610" spans="2:22" s="292" customFormat="1">
      <c r="S610" s="305"/>
      <c r="T610" s="305"/>
      <c r="U610" s="305"/>
      <c r="V610" s="305"/>
    </row>
    <row r="611" spans="2:22" s="292" customFormat="1">
      <c r="B611" s="303"/>
      <c r="P611" s="304"/>
      <c r="S611" s="305"/>
      <c r="T611" s="305"/>
      <c r="U611" s="305"/>
      <c r="V611" s="305"/>
    </row>
    <row r="612" spans="2:22" s="292" customFormat="1">
      <c r="S612" s="305"/>
      <c r="T612" s="305"/>
      <c r="U612" s="305"/>
      <c r="V612" s="305"/>
    </row>
    <row r="613" spans="2:22" s="292" customFormat="1">
      <c r="S613" s="305"/>
      <c r="T613" s="305"/>
      <c r="U613" s="305"/>
      <c r="V613" s="305"/>
    </row>
    <row r="614" spans="2:22" s="292" customFormat="1">
      <c r="B614" s="303"/>
      <c r="P614" s="304"/>
      <c r="S614" s="305"/>
      <c r="T614" s="305"/>
      <c r="U614" s="305"/>
      <c r="V614" s="305"/>
    </row>
    <row r="615" spans="2:22" s="292" customFormat="1">
      <c r="S615" s="305"/>
      <c r="T615" s="305"/>
      <c r="U615" s="305"/>
      <c r="V615" s="305"/>
    </row>
    <row r="616" spans="2:22" s="292" customFormat="1">
      <c r="S616" s="305"/>
      <c r="T616" s="305"/>
      <c r="U616" s="305"/>
      <c r="V616" s="305"/>
    </row>
    <row r="617" spans="2:22" s="292" customFormat="1">
      <c r="B617" s="303"/>
      <c r="P617" s="304"/>
      <c r="S617" s="305"/>
      <c r="T617" s="305"/>
      <c r="U617" s="305"/>
      <c r="V617" s="305"/>
    </row>
    <row r="618" spans="2:22" s="292" customFormat="1"/>
    <row r="619" spans="2:22" s="292" customFormat="1"/>
    <row r="620" spans="2:22" s="292" customFormat="1"/>
    <row r="621" spans="2:22" s="292" customFormat="1"/>
    <row r="622" spans="2:22" s="292" customFormat="1"/>
    <row r="623" spans="2:22" s="292" customFormat="1"/>
    <row r="624" spans="2:22" s="292" customFormat="1"/>
    <row r="625" s="292" customFormat="1"/>
    <row r="626" s="292" customFormat="1"/>
    <row r="627" s="292" customFormat="1"/>
    <row r="628" s="292" customFormat="1"/>
    <row r="629" s="292" customFormat="1"/>
    <row r="630" s="292" customFormat="1"/>
    <row r="631" s="292" customFormat="1"/>
    <row r="632" s="292" customFormat="1"/>
    <row r="633" s="292" customFormat="1"/>
    <row r="634" s="292" customFormat="1"/>
    <row r="635" s="292" customFormat="1"/>
    <row r="636" s="292" customFormat="1"/>
    <row r="637" s="292" customFormat="1"/>
    <row r="638" s="292" customFormat="1"/>
    <row r="639" s="292" customFormat="1"/>
    <row r="640" s="292" customFormat="1"/>
    <row r="641" s="292" customFormat="1"/>
    <row r="642" s="292" customFormat="1"/>
    <row r="643" s="292" customFormat="1"/>
    <row r="644" s="292" customFormat="1"/>
    <row r="645" s="292" customFormat="1"/>
    <row r="646" s="292" customFormat="1"/>
    <row r="647" s="292" customFormat="1"/>
    <row r="648" s="292" customFormat="1"/>
    <row r="649" s="292" customFormat="1"/>
    <row r="650" s="292" customFormat="1"/>
    <row r="651" s="292" customFormat="1"/>
    <row r="652" s="292" customFormat="1"/>
    <row r="653" s="292" customFormat="1"/>
    <row r="654" s="292" customFormat="1"/>
    <row r="655" s="292" customFormat="1"/>
    <row r="656" s="292" customFormat="1"/>
    <row r="657" s="292" customFormat="1"/>
    <row r="658" s="292" customFormat="1"/>
    <row r="659" s="292" customFormat="1"/>
    <row r="660" s="292" customFormat="1"/>
    <row r="661" s="292" customFormat="1"/>
    <row r="662" s="292" customFormat="1"/>
    <row r="663" s="292" customFormat="1"/>
    <row r="664" s="292" customFormat="1"/>
    <row r="665" s="292" customFormat="1"/>
    <row r="666" s="292" customFormat="1"/>
    <row r="667" s="292" customFormat="1"/>
    <row r="668" s="292" customFormat="1"/>
    <row r="669" s="292" customFormat="1"/>
    <row r="670" s="292" customFormat="1"/>
    <row r="671" s="292" customFormat="1"/>
    <row r="672" s="292" customFormat="1"/>
    <row r="673" s="292" customFormat="1"/>
    <row r="674" s="292" customFormat="1"/>
    <row r="675" s="292" customFormat="1"/>
    <row r="676" s="292" customFormat="1"/>
    <row r="677" s="292" customFormat="1"/>
    <row r="678" s="292" customFormat="1"/>
    <row r="679" s="292" customFormat="1"/>
    <row r="680" s="292" customFormat="1"/>
    <row r="681" s="292" customFormat="1"/>
    <row r="682" s="292" customFormat="1"/>
    <row r="683" s="292" customFormat="1"/>
    <row r="684" s="292" customFormat="1"/>
    <row r="685" s="292" customFormat="1"/>
    <row r="686" s="292" customFormat="1"/>
    <row r="687" s="292" customFormat="1"/>
    <row r="688" s="292" customFormat="1"/>
    <row r="689" s="292" customFormat="1"/>
    <row r="690" s="292" customFormat="1"/>
    <row r="691" s="292" customFormat="1"/>
    <row r="692" s="292" customFormat="1"/>
    <row r="693" s="292" customFormat="1"/>
    <row r="694" s="292" customFormat="1"/>
    <row r="695" s="292" customFormat="1"/>
    <row r="696" s="292" customFormat="1"/>
    <row r="697" s="292" customFormat="1"/>
    <row r="698" s="292" customFormat="1"/>
    <row r="699" s="292" customFormat="1"/>
    <row r="700" s="292" customFormat="1"/>
    <row r="701" s="292" customFormat="1"/>
    <row r="702" s="292" customFormat="1"/>
    <row r="703" s="292" customFormat="1"/>
    <row r="704" s="292" customFormat="1"/>
    <row r="705" s="292" customFormat="1"/>
    <row r="706" s="292" customFormat="1"/>
    <row r="707" s="292" customFormat="1"/>
    <row r="708" s="292" customFormat="1"/>
    <row r="709" s="292" customFormat="1"/>
    <row r="710" s="292" customFormat="1"/>
    <row r="711" s="292" customFormat="1"/>
    <row r="712" s="292" customFormat="1"/>
    <row r="713" s="292" customFormat="1"/>
    <row r="714" s="292" customFormat="1"/>
    <row r="715" s="292" customFormat="1"/>
    <row r="716" s="292" customFormat="1"/>
    <row r="717" s="292" customFormat="1"/>
    <row r="718" s="292" customFormat="1"/>
    <row r="719" s="292" customFormat="1"/>
    <row r="720" s="292" customFormat="1"/>
    <row r="721" s="292" customFormat="1"/>
    <row r="722" s="292" customFormat="1"/>
    <row r="723" s="292" customFormat="1"/>
    <row r="724" s="292" customFormat="1"/>
    <row r="725" s="292" customFormat="1"/>
    <row r="726" s="292" customFormat="1"/>
    <row r="727" s="292" customFormat="1"/>
    <row r="728" s="292" customFormat="1"/>
    <row r="729" s="292" customFormat="1"/>
    <row r="730" s="292" customFormat="1"/>
    <row r="731" s="292" customFormat="1"/>
    <row r="732" s="292" customFormat="1"/>
    <row r="733" s="292" customFormat="1"/>
    <row r="734" s="292" customFormat="1"/>
    <row r="735" s="292" customFormat="1"/>
    <row r="736" s="292" customFormat="1"/>
    <row r="737" s="292" customFormat="1"/>
    <row r="738" s="292" customFormat="1"/>
    <row r="739" s="292" customFormat="1"/>
    <row r="740" s="292" customFormat="1"/>
    <row r="741" s="292" customFormat="1"/>
    <row r="742" s="292" customFormat="1"/>
    <row r="743" s="292" customFormat="1"/>
    <row r="744" s="292" customFormat="1"/>
    <row r="745" s="292" customFormat="1"/>
    <row r="746" s="292" customFormat="1"/>
    <row r="747" s="292" customFormat="1"/>
    <row r="748" s="292" customFormat="1"/>
    <row r="749" s="292" customFormat="1"/>
    <row r="750" s="292" customFormat="1"/>
    <row r="751" s="292" customFormat="1"/>
    <row r="752" s="292" customFormat="1"/>
    <row r="753" s="292" customFormat="1"/>
    <row r="754" s="292" customFormat="1"/>
    <row r="755" s="292" customFormat="1"/>
    <row r="756" s="292" customFormat="1"/>
    <row r="757" s="292" customFormat="1"/>
    <row r="758" s="292" customFormat="1"/>
    <row r="759" s="292" customFormat="1"/>
    <row r="760" s="292" customFormat="1"/>
    <row r="761" s="292" customFormat="1"/>
    <row r="762" s="292" customFormat="1"/>
    <row r="763" s="292" customFormat="1"/>
    <row r="764" s="292" customFormat="1"/>
    <row r="765" s="292" customFormat="1"/>
    <row r="766" s="292" customFormat="1"/>
    <row r="767" s="292" customFormat="1"/>
    <row r="768" s="292" customFormat="1"/>
    <row r="769" s="292" customFormat="1"/>
    <row r="770" s="292" customFormat="1"/>
    <row r="771" s="292" customFormat="1"/>
    <row r="772" s="292" customFormat="1"/>
    <row r="773" s="292" customFormat="1"/>
    <row r="774" s="292" customFormat="1"/>
    <row r="775" s="292" customFormat="1"/>
    <row r="776" s="292" customFormat="1"/>
    <row r="777" s="292" customFormat="1"/>
    <row r="778" s="292" customFormat="1"/>
    <row r="779" s="292" customFormat="1"/>
    <row r="780" s="292" customFormat="1"/>
    <row r="781" s="292" customFormat="1"/>
    <row r="782" s="292" customFormat="1"/>
    <row r="783" s="292" customFormat="1"/>
    <row r="784" s="292" customFormat="1"/>
    <row r="785" s="292" customFormat="1"/>
    <row r="786" s="292" customFormat="1"/>
    <row r="787" s="292" customFormat="1"/>
    <row r="788" s="292" customFormat="1"/>
    <row r="789" s="292" customFormat="1"/>
    <row r="790" s="292" customFormat="1"/>
    <row r="791" s="292" customFormat="1"/>
    <row r="792" s="292" customFormat="1"/>
    <row r="793" s="292" customFormat="1"/>
    <row r="794" s="292" customFormat="1"/>
    <row r="795" s="292" customFormat="1"/>
    <row r="796" s="292" customFormat="1"/>
    <row r="797" s="292" customFormat="1"/>
    <row r="798" s="292" customFormat="1"/>
    <row r="799" s="292" customFormat="1"/>
    <row r="800" s="292" customFormat="1"/>
    <row r="801" s="292" customFormat="1"/>
    <row r="802" s="292" customFormat="1"/>
    <row r="803" s="292" customFormat="1"/>
    <row r="804" s="292" customFormat="1"/>
    <row r="805" s="292" customFormat="1"/>
    <row r="806" s="292" customFormat="1"/>
    <row r="807" s="292" customFormat="1"/>
    <row r="808" s="292" customFormat="1"/>
    <row r="809" s="292" customFormat="1"/>
    <row r="810" s="292" customFormat="1"/>
    <row r="811" s="292" customFormat="1"/>
    <row r="812" s="292" customFormat="1"/>
    <row r="813" s="292" customFormat="1"/>
    <row r="814" s="292" customFormat="1"/>
    <row r="815" s="292" customFormat="1"/>
    <row r="816" s="292" customFormat="1"/>
    <row r="817" s="292" customFormat="1"/>
    <row r="818" s="292" customFormat="1"/>
    <row r="819" s="292" customFormat="1"/>
    <row r="820" s="292" customFormat="1"/>
    <row r="821" s="292" customFormat="1"/>
    <row r="822" s="292" customFormat="1"/>
    <row r="823" s="292" customFormat="1"/>
    <row r="824" s="292" customFormat="1"/>
    <row r="825" s="292" customFormat="1"/>
    <row r="826" s="292" customFormat="1"/>
    <row r="827" s="292" customFormat="1"/>
    <row r="828" s="292" customFormat="1"/>
    <row r="829" s="292" customFormat="1"/>
    <row r="830" s="292" customFormat="1"/>
    <row r="831" s="292" customFormat="1"/>
    <row r="832" s="292" customFormat="1"/>
    <row r="833" s="292" customFormat="1"/>
    <row r="834" s="292" customFormat="1"/>
    <row r="835" s="292" customFormat="1"/>
    <row r="836" s="292" customFormat="1"/>
    <row r="837" s="292" customFormat="1"/>
    <row r="838" s="292" customFormat="1"/>
    <row r="839" s="292" customFormat="1"/>
    <row r="840" s="292" customFormat="1"/>
    <row r="841" s="292" customFormat="1"/>
    <row r="842" s="292" customFormat="1"/>
    <row r="843" s="292" customFormat="1"/>
    <row r="844" s="292" customFormat="1"/>
    <row r="845" s="292" customFormat="1"/>
    <row r="846" s="292" customFormat="1"/>
    <row r="847" s="292" customFormat="1"/>
    <row r="848" s="292" customFormat="1"/>
    <row r="849" s="292" customFormat="1"/>
    <row r="850" s="292" customFormat="1"/>
    <row r="851" s="292" customFormat="1"/>
    <row r="852" s="292" customFormat="1"/>
    <row r="853" s="292" customFormat="1"/>
    <row r="854" s="292" customFormat="1"/>
    <row r="855" s="292" customFormat="1"/>
    <row r="856" s="292" customFormat="1"/>
    <row r="857" s="292" customFormat="1"/>
    <row r="858" s="292" customFormat="1"/>
    <row r="859" s="292" customFormat="1"/>
    <row r="860" s="292" customFormat="1"/>
    <row r="861" s="292" customFormat="1"/>
    <row r="862" s="292" customFormat="1"/>
    <row r="863" s="292" customFormat="1"/>
    <row r="864" s="292" customFormat="1"/>
    <row r="865" s="292" customFormat="1"/>
    <row r="866" s="292" customFormat="1"/>
    <row r="867" s="292" customFormat="1"/>
    <row r="868" s="292" customFormat="1"/>
    <row r="869" s="292" customFormat="1"/>
    <row r="870" s="292" customFormat="1"/>
    <row r="871" s="292" customFormat="1"/>
    <row r="872" s="292" customFormat="1"/>
    <row r="873" s="292" customFormat="1"/>
    <row r="874" s="292" customFormat="1"/>
    <row r="875" s="292" customFormat="1"/>
    <row r="876" s="292" customFormat="1"/>
    <row r="877" s="292" customFormat="1"/>
    <row r="878" s="292" customFormat="1"/>
    <row r="879" s="292" customFormat="1"/>
    <row r="880" s="292" customFormat="1"/>
    <row r="881" s="292" customFormat="1"/>
    <row r="882" s="292" customForma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1AF9-60DF-43DB-92D7-EF8449039E21}">
  <sheetPr>
    <tabColor rgb="FFFFFF00"/>
  </sheetPr>
  <dimension ref="A2:Z882"/>
  <sheetViews>
    <sheetView workbookViewId="0">
      <selection sqref="A1:XFD1048576"/>
    </sheetView>
  </sheetViews>
  <sheetFormatPr defaultColWidth="8.88671875" defaultRowHeight="15"/>
  <cols>
    <col min="1" max="1" width="5.44140625" style="272" customWidth="1"/>
    <col min="2" max="2" width="20.88671875" style="272" customWidth="1"/>
    <col min="3" max="10" width="7.21875" style="272" customWidth="1"/>
    <col min="11" max="11" width="7.88671875" style="272" customWidth="1"/>
    <col min="12" max="15" width="8.6640625" style="272" customWidth="1"/>
    <col min="16" max="16" width="7.88671875" style="272" customWidth="1"/>
    <col min="17" max="18" width="8.6640625" style="272" customWidth="1"/>
    <col min="19" max="19" width="7.88671875" style="272" customWidth="1"/>
    <col min="20" max="22" width="8.6640625" style="272" customWidth="1"/>
    <col min="23" max="23" width="7.88671875" style="272" customWidth="1"/>
    <col min="24" max="25" width="8.6640625" style="272" customWidth="1"/>
    <col min="26" max="26" width="7.88671875" style="272" customWidth="1"/>
    <col min="27" max="16384" width="8.88671875" style="272"/>
  </cols>
  <sheetData>
    <row r="2" spans="1:26">
      <c r="S2" s="273"/>
      <c r="T2" s="273"/>
    </row>
    <row r="3" spans="1:26">
      <c r="A3" s="274"/>
      <c r="B3" s="275"/>
      <c r="C3" s="219"/>
      <c r="D3" s="222"/>
      <c r="E3" s="222"/>
      <c r="F3" s="222"/>
      <c r="G3" s="222"/>
      <c r="H3" s="222"/>
      <c r="I3" s="222"/>
      <c r="J3" s="221"/>
      <c r="K3" s="222"/>
      <c r="L3" s="222"/>
      <c r="M3" s="222"/>
      <c r="N3" s="222"/>
      <c r="O3" s="221"/>
      <c r="P3" s="222"/>
      <c r="Q3" s="222"/>
      <c r="R3" s="221"/>
      <c r="S3" s="276"/>
      <c r="T3" s="277"/>
      <c r="U3" s="277"/>
      <c r="V3" s="277"/>
      <c r="W3" s="277"/>
      <c r="X3" s="277"/>
      <c r="Y3" s="277"/>
      <c r="Z3" s="277"/>
    </row>
    <row r="4" spans="1:26">
      <c r="A4" s="274"/>
      <c r="B4" s="275"/>
      <c r="C4" s="219"/>
      <c r="D4" s="220"/>
      <c r="E4" s="220"/>
      <c r="F4" s="220"/>
      <c r="G4" s="220"/>
      <c r="H4" s="220"/>
      <c r="I4" s="220"/>
      <c r="J4" s="232"/>
      <c r="K4" s="219"/>
      <c r="L4" s="278"/>
      <c r="M4" s="220"/>
      <c r="N4" s="220"/>
      <c r="O4" s="232"/>
      <c r="P4" s="219"/>
      <c r="Q4" s="278"/>
      <c r="R4" s="232"/>
      <c r="S4" s="279"/>
      <c r="T4" s="277"/>
      <c r="U4" s="277"/>
      <c r="V4" s="277"/>
      <c r="W4" s="277"/>
      <c r="X4" s="277"/>
      <c r="Y4" s="277"/>
      <c r="Z4" s="277"/>
    </row>
    <row r="5" spans="1:26">
      <c r="A5" s="280"/>
      <c r="B5" s="281"/>
      <c r="C5" s="274"/>
      <c r="D5" s="282"/>
      <c r="E5" s="282"/>
      <c r="F5" s="282"/>
      <c r="G5" s="282"/>
      <c r="H5" s="282"/>
      <c r="I5" s="282"/>
      <c r="J5" s="282"/>
      <c r="K5" s="233"/>
      <c r="L5" s="283"/>
      <c r="M5" s="284"/>
      <c r="N5" s="284"/>
      <c r="O5" s="284"/>
      <c r="P5" s="285"/>
      <c r="Q5" s="283"/>
      <c r="R5" s="284"/>
      <c r="S5" s="286"/>
      <c r="T5" s="277"/>
      <c r="U5" s="277"/>
      <c r="V5" s="277"/>
      <c r="W5" s="277"/>
      <c r="X5" s="277"/>
      <c r="Y5" s="277"/>
      <c r="Z5" s="277"/>
    </row>
    <row r="6" spans="1:26" s="292" customFormat="1">
      <c r="A6" s="287"/>
      <c r="B6" s="288"/>
      <c r="C6" s="288"/>
      <c r="D6" s="288"/>
      <c r="E6" s="288"/>
      <c r="F6" s="288"/>
      <c r="G6" s="288"/>
      <c r="H6" s="288"/>
      <c r="I6" s="288"/>
      <c r="J6" s="288"/>
      <c r="K6" s="289"/>
      <c r="L6" s="290"/>
      <c r="M6" s="288"/>
      <c r="N6" s="288"/>
      <c r="O6" s="288"/>
      <c r="P6" s="289"/>
      <c r="Q6" s="290"/>
      <c r="R6" s="288"/>
      <c r="S6" s="291"/>
      <c r="T6" s="277"/>
      <c r="U6" s="277"/>
      <c r="V6" s="277"/>
      <c r="W6" s="277"/>
      <c r="X6" s="277"/>
      <c r="Y6" s="277"/>
      <c r="Z6" s="277"/>
    </row>
    <row r="7" spans="1:26" s="292" customFormat="1">
      <c r="A7" s="293"/>
      <c r="B7" s="294"/>
      <c r="C7" s="294"/>
      <c r="D7" s="294"/>
      <c r="E7" s="294"/>
      <c r="F7" s="294"/>
      <c r="G7" s="294"/>
      <c r="H7" s="294"/>
      <c r="I7" s="294"/>
      <c r="J7" s="294"/>
      <c r="K7" s="295"/>
      <c r="L7" s="296"/>
      <c r="M7" s="294"/>
      <c r="N7" s="294"/>
      <c r="O7" s="294"/>
      <c r="P7" s="295"/>
      <c r="Q7" s="296"/>
      <c r="R7" s="294"/>
      <c r="S7" s="297"/>
      <c r="T7" s="277"/>
      <c r="U7" s="277"/>
      <c r="V7" s="277"/>
      <c r="W7" s="277"/>
      <c r="X7" s="277"/>
      <c r="Y7" s="277"/>
      <c r="Z7" s="277"/>
    </row>
    <row r="8" spans="1:26" s="292" customFormat="1">
      <c r="A8" s="293"/>
      <c r="B8" s="288"/>
      <c r="C8" s="288"/>
      <c r="D8" s="288"/>
      <c r="E8" s="288"/>
      <c r="F8" s="288"/>
      <c r="G8" s="288"/>
      <c r="H8" s="288"/>
      <c r="I8" s="288"/>
      <c r="J8" s="288"/>
      <c r="K8" s="289"/>
      <c r="L8" s="290"/>
      <c r="M8" s="288"/>
      <c r="N8" s="288"/>
      <c r="O8" s="288"/>
      <c r="P8" s="289"/>
      <c r="Q8" s="290"/>
      <c r="R8" s="288"/>
      <c r="S8" s="291"/>
      <c r="T8" s="277"/>
      <c r="U8" s="277"/>
      <c r="V8" s="277"/>
      <c r="W8" s="277"/>
      <c r="X8" s="277"/>
      <c r="Y8" s="277"/>
      <c r="Z8" s="277"/>
    </row>
    <row r="9" spans="1:26" s="292" customFormat="1">
      <c r="A9" s="293"/>
      <c r="B9" s="294"/>
      <c r="C9" s="294"/>
      <c r="D9" s="294"/>
      <c r="E9" s="294"/>
      <c r="F9" s="294"/>
      <c r="G9" s="294"/>
      <c r="H9" s="294"/>
      <c r="I9" s="294"/>
      <c r="J9" s="294"/>
      <c r="K9" s="295"/>
      <c r="L9" s="296"/>
      <c r="M9" s="294"/>
      <c r="N9" s="294"/>
      <c r="O9" s="294"/>
      <c r="P9" s="295"/>
      <c r="Q9" s="296"/>
      <c r="R9" s="294"/>
      <c r="S9" s="297"/>
      <c r="T9" s="277"/>
      <c r="U9" s="277"/>
      <c r="V9" s="277"/>
      <c r="W9" s="277"/>
      <c r="X9" s="277"/>
      <c r="Y9" s="277"/>
      <c r="Z9" s="277"/>
    </row>
    <row r="10" spans="1:26" s="292" customFormat="1">
      <c r="A10" s="293"/>
      <c r="B10" s="288"/>
      <c r="C10" s="288"/>
      <c r="D10" s="288"/>
      <c r="E10" s="288"/>
      <c r="F10" s="288"/>
      <c r="G10" s="288"/>
      <c r="H10" s="288"/>
      <c r="I10" s="288"/>
      <c r="J10" s="288"/>
      <c r="K10" s="289"/>
      <c r="L10" s="290"/>
      <c r="M10" s="288"/>
      <c r="N10" s="288"/>
      <c r="O10" s="288"/>
      <c r="P10" s="289"/>
      <c r="Q10" s="290"/>
      <c r="R10" s="288"/>
      <c r="S10" s="291"/>
      <c r="T10" s="277"/>
      <c r="U10" s="277"/>
      <c r="V10" s="277"/>
      <c r="W10" s="277"/>
      <c r="X10" s="277"/>
      <c r="Y10" s="277"/>
      <c r="Z10" s="277"/>
    </row>
    <row r="11" spans="1:26" s="292" customFormat="1">
      <c r="A11" s="293"/>
      <c r="B11" s="294"/>
      <c r="C11" s="294"/>
      <c r="D11" s="294"/>
      <c r="E11" s="294"/>
      <c r="F11" s="294"/>
      <c r="G11" s="294"/>
      <c r="H11" s="294"/>
      <c r="I11" s="294"/>
      <c r="J11" s="294"/>
      <c r="K11" s="295"/>
      <c r="L11" s="296"/>
      <c r="M11" s="294"/>
      <c r="N11" s="294"/>
      <c r="O11" s="294"/>
      <c r="P11" s="295"/>
      <c r="Q11" s="296"/>
      <c r="R11" s="294"/>
      <c r="S11" s="297"/>
      <c r="T11" s="277"/>
      <c r="U11" s="277"/>
      <c r="V11" s="277"/>
      <c r="W11" s="277"/>
      <c r="X11" s="277"/>
      <c r="Y11" s="277"/>
      <c r="Z11" s="277"/>
    </row>
    <row r="12" spans="1:26" s="292" customFormat="1">
      <c r="A12" s="293"/>
      <c r="B12" s="288"/>
      <c r="C12" s="288"/>
      <c r="D12" s="288"/>
      <c r="E12" s="288"/>
      <c r="F12" s="288"/>
      <c r="G12" s="288"/>
      <c r="H12" s="288"/>
      <c r="I12" s="288"/>
      <c r="J12" s="288"/>
      <c r="K12" s="289"/>
      <c r="L12" s="290"/>
      <c r="M12" s="288"/>
      <c r="N12" s="288"/>
      <c r="O12" s="288"/>
      <c r="P12" s="289"/>
      <c r="Q12" s="290"/>
      <c r="R12" s="288"/>
      <c r="S12" s="291"/>
      <c r="T12" s="277"/>
      <c r="U12" s="277"/>
      <c r="V12" s="277"/>
      <c r="W12" s="277"/>
      <c r="X12" s="277"/>
      <c r="Y12" s="277"/>
      <c r="Z12" s="277"/>
    </row>
    <row r="13" spans="1:26" s="292" customFormat="1">
      <c r="A13" s="298"/>
      <c r="B13" s="294"/>
      <c r="C13" s="294"/>
      <c r="D13" s="294"/>
      <c r="E13" s="294"/>
      <c r="F13" s="294"/>
      <c r="G13" s="294"/>
      <c r="H13" s="294"/>
      <c r="I13" s="294"/>
      <c r="J13" s="294"/>
      <c r="K13" s="295"/>
      <c r="L13" s="296"/>
      <c r="M13" s="294"/>
      <c r="N13" s="294"/>
      <c r="O13" s="294"/>
      <c r="P13" s="295"/>
      <c r="Q13" s="296"/>
      <c r="R13" s="294"/>
      <c r="S13" s="297"/>
      <c r="T13" s="277"/>
      <c r="U13" s="277"/>
      <c r="V13" s="277"/>
      <c r="W13" s="277"/>
      <c r="X13" s="277"/>
      <c r="Y13" s="277"/>
      <c r="Z13" s="277"/>
    </row>
    <row r="14" spans="1:26" s="292" customFormat="1">
      <c r="A14" s="287"/>
      <c r="B14" s="288"/>
      <c r="C14" s="288"/>
      <c r="D14" s="288"/>
      <c r="E14" s="288"/>
      <c r="F14" s="288"/>
      <c r="G14" s="288"/>
      <c r="H14" s="288"/>
      <c r="I14" s="288"/>
      <c r="J14" s="288"/>
      <c r="K14" s="290"/>
      <c r="L14" s="288"/>
      <c r="M14" s="288"/>
      <c r="N14" s="288"/>
      <c r="O14" s="288"/>
      <c r="P14" s="290"/>
      <c r="Q14" s="288"/>
      <c r="R14" s="299"/>
      <c r="S14" s="291"/>
      <c r="T14" s="277"/>
      <c r="U14" s="277"/>
      <c r="V14" s="277"/>
      <c r="W14" s="277"/>
      <c r="X14" s="277"/>
      <c r="Y14" s="277"/>
      <c r="Z14" s="277"/>
    </row>
    <row r="15" spans="1:26" s="292" customFormat="1">
      <c r="A15" s="293"/>
      <c r="B15" s="294"/>
      <c r="C15" s="294"/>
      <c r="D15" s="294"/>
      <c r="E15" s="294"/>
      <c r="F15" s="294"/>
      <c r="G15" s="294"/>
      <c r="H15" s="294"/>
      <c r="I15" s="294"/>
      <c r="J15" s="294"/>
      <c r="K15" s="296"/>
      <c r="L15" s="294"/>
      <c r="M15" s="294"/>
      <c r="N15" s="294"/>
      <c r="O15" s="294"/>
      <c r="P15" s="296"/>
      <c r="Q15" s="294"/>
      <c r="R15" s="300"/>
      <c r="S15" s="297"/>
      <c r="T15" s="277"/>
      <c r="U15" s="277"/>
      <c r="V15" s="277"/>
      <c r="W15" s="277"/>
      <c r="X15" s="277"/>
      <c r="Y15" s="277"/>
      <c r="Z15" s="277"/>
    </row>
    <row r="16" spans="1:26" s="292" customFormat="1">
      <c r="A16" s="293"/>
      <c r="B16" s="288"/>
      <c r="C16" s="288"/>
      <c r="D16" s="288"/>
      <c r="E16" s="288"/>
      <c r="F16" s="288"/>
      <c r="G16" s="288"/>
      <c r="H16" s="288"/>
      <c r="I16" s="288"/>
      <c r="J16" s="288"/>
      <c r="K16" s="301"/>
      <c r="L16" s="288"/>
      <c r="M16" s="288"/>
      <c r="N16" s="288"/>
      <c r="O16" s="288"/>
      <c r="P16" s="301"/>
      <c r="Q16" s="288"/>
      <c r="R16" s="299"/>
      <c r="S16" s="291"/>
      <c r="T16" s="277"/>
      <c r="U16" s="277"/>
      <c r="V16" s="277"/>
      <c r="W16" s="277"/>
      <c r="X16" s="277"/>
      <c r="Y16" s="277"/>
      <c r="Z16" s="277"/>
    </row>
    <row r="17" spans="1:26" s="292" customFormat="1">
      <c r="A17" s="293"/>
      <c r="B17" s="294"/>
      <c r="C17" s="294"/>
      <c r="D17" s="294"/>
      <c r="E17" s="294"/>
      <c r="F17" s="294"/>
      <c r="G17" s="294"/>
      <c r="H17" s="294"/>
      <c r="I17" s="294"/>
      <c r="J17" s="294"/>
      <c r="K17" s="302"/>
      <c r="L17" s="294"/>
      <c r="M17" s="294"/>
      <c r="N17" s="294"/>
      <c r="O17" s="294"/>
      <c r="P17" s="302"/>
      <c r="Q17" s="294"/>
      <c r="R17" s="300"/>
      <c r="S17" s="297"/>
      <c r="T17" s="277"/>
      <c r="U17" s="277"/>
      <c r="V17" s="277"/>
      <c r="W17" s="277"/>
      <c r="X17" s="277"/>
      <c r="Y17" s="277"/>
      <c r="Z17" s="277"/>
    </row>
    <row r="18" spans="1:26" s="292" customFormat="1">
      <c r="A18" s="293"/>
      <c r="B18" s="288"/>
      <c r="C18" s="288"/>
      <c r="D18" s="288"/>
      <c r="E18" s="288"/>
      <c r="F18" s="288"/>
      <c r="G18" s="288"/>
      <c r="H18" s="288"/>
      <c r="I18" s="288"/>
      <c r="J18" s="288"/>
      <c r="K18" s="290"/>
      <c r="L18" s="288"/>
      <c r="M18" s="288"/>
      <c r="N18" s="288"/>
      <c r="O18" s="288"/>
      <c r="P18" s="290"/>
      <c r="Q18" s="288"/>
      <c r="R18" s="299"/>
      <c r="S18" s="291"/>
      <c r="T18" s="277"/>
      <c r="U18" s="277"/>
      <c r="V18" s="277"/>
      <c r="W18" s="277"/>
      <c r="X18" s="277"/>
      <c r="Y18" s="277"/>
      <c r="Z18" s="277"/>
    </row>
    <row r="19" spans="1:26" s="292" customFormat="1">
      <c r="A19" s="293"/>
      <c r="B19" s="294"/>
      <c r="C19" s="294"/>
      <c r="D19" s="294"/>
      <c r="E19" s="294"/>
      <c r="F19" s="294"/>
      <c r="G19" s="294"/>
      <c r="H19" s="294"/>
      <c r="I19" s="294"/>
      <c r="J19" s="294"/>
      <c r="K19" s="296"/>
      <c r="L19" s="294"/>
      <c r="M19" s="294"/>
      <c r="N19" s="294"/>
      <c r="O19" s="294"/>
      <c r="P19" s="296"/>
      <c r="Q19" s="294"/>
      <c r="R19" s="300"/>
      <c r="S19" s="297"/>
      <c r="T19" s="277"/>
      <c r="U19" s="277"/>
      <c r="V19" s="277"/>
      <c r="W19" s="277"/>
      <c r="X19" s="277"/>
      <c r="Y19" s="277"/>
      <c r="Z19" s="277"/>
    </row>
    <row r="20" spans="1:26" s="292" customFormat="1">
      <c r="A20" s="293"/>
      <c r="B20" s="288"/>
      <c r="C20" s="288"/>
      <c r="D20" s="288"/>
      <c r="E20" s="288"/>
      <c r="F20" s="288"/>
      <c r="G20" s="288"/>
      <c r="H20" s="288"/>
      <c r="I20" s="288"/>
      <c r="J20" s="288"/>
      <c r="K20" s="290"/>
      <c r="L20" s="288"/>
      <c r="M20" s="288"/>
      <c r="N20" s="288"/>
      <c r="O20" s="288"/>
      <c r="P20" s="290"/>
      <c r="Q20" s="288"/>
      <c r="R20" s="299"/>
      <c r="S20" s="291"/>
      <c r="T20" s="277"/>
      <c r="U20" s="277"/>
      <c r="V20" s="277"/>
      <c r="W20" s="277"/>
      <c r="X20" s="277"/>
      <c r="Y20" s="277"/>
      <c r="Z20" s="277"/>
    </row>
    <row r="21" spans="1:26" s="292" customFormat="1">
      <c r="A21" s="298"/>
      <c r="B21" s="294"/>
      <c r="C21" s="294"/>
      <c r="D21" s="294"/>
      <c r="E21" s="294"/>
      <c r="F21" s="294"/>
      <c r="G21" s="294"/>
      <c r="H21" s="294"/>
      <c r="I21" s="294"/>
      <c r="J21" s="294"/>
      <c r="K21" s="296"/>
      <c r="L21" s="294"/>
      <c r="M21" s="294"/>
      <c r="N21" s="294"/>
      <c r="O21" s="294"/>
      <c r="P21" s="296"/>
      <c r="Q21" s="294"/>
      <c r="R21" s="300"/>
      <c r="S21" s="297"/>
      <c r="T21" s="277"/>
      <c r="U21" s="277"/>
      <c r="V21" s="277"/>
      <c r="W21" s="277"/>
      <c r="X21" s="277"/>
      <c r="Y21" s="277"/>
      <c r="Z21" s="277"/>
    </row>
    <row r="22" spans="1:26" s="292" customFormat="1">
      <c r="A22" s="287"/>
      <c r="B22" s="288"/>
      <c r="C22" s="288"/>
      <c r="D22" s="288"/>
      <c r="E22" s="288"/>
      <c r="F22" s="288"/>
      <c r="G22" s="288"/>
      <c r="H22" s="288"/>
      <c r="I22" s="288"/>
      <c r="J22" s="288"/>
      <c r="K22" s="290"/>
      <c r="L22" s="288"/>
      <c r="M22" s="288"/>
      <c r="N22" s="288"/>
      <c r="O22" s="288"/>
      <c r="P22" s="290"/>
      <c r="Q22" s="288"/>
      <c r="R22" s="299"/>
      <c r="S22" s="291"/>
      <c r="T22" s="277"/>
      <c r="U22" s="277"/>
      <c r="V22" s="277"/>
      <c r="W22" s="277"/>
      <c r="X22" s="277"/>
      <c r="Y22" s="277"/>
      <c r="Z22" s="277"/>
    </row>
    <row r="23" spans="1:26" s="292" customFormat="1">
      <c r="A23" s="293"/>
      <c r="B23" s="294"/>
      <c r="C23" s="294"/>
      <c r="D23" s="294"/>
      <c r="E23" s="294"/>
      <c r="F23" s="294"/>
      <c r="G23" s="294"/>
      <c r="H23" s="294"/>
      <c r="I23" s="294"/>
      <c r="J23" s="294"/>
      <c r="K23" s="296"/>
      <c r="L23" s="294"/>
      <c r="M23" s="294"/>
      <c r="N23" s="294"/>
      <c r="O23" s="294"/>
      <c r="P23" s="296"/>
      <c r="Q23" s="294"/>
      <c r="R23" s="300"/>
      <c r="S23" s="297"/>
      <c r="T23" s="277"/>
      <c r="U23" s="277"/>
      <c r="V23" s="277"/>
      <c r="W23" s="277"/>
      <c r="X23" s="277"/>
      <c r="Y23" s="277"/>
      <c r="Z23" s="277"/>
    </row>
    <row r="24" spans="1:26" s="292" customFormat="1">
      <c r="A24" s="293"/>
      <c r="B24" s="288"/>
      <c r="C24" s="288"/>
      <c r="D24" s="288"/>
      <c r="E24" s="288"/>
      <c r="F24" s="288"/>
      <c r="G24" s="288"/>
      <c r="H24" s="288"/>
      <c r="I24" s="288"/>
      <c r="J24" s="288"/>
      <c r="K24" s="290"/>
      <c r="L24" s="288"/>
      <c r="M24" s="288"/>
      <c r="N24" s="288"/>
      <c r="O24" s="288"/>
      <c r="P24" s="290"/>
      <c r="Q24" s="288"/>
      <c r="R24" s="299"/>
      <c r="S24" s="291"/>
      <c r="T24" s="277"/>
      <c r="U24" s="277"/>
      <c r="V24" s="277"/>
      <c r="W24" s="277"/>
      <c r="X24" s="277"/>
      <c r="Y24" s="277"/>
      <c r="Z24" s="277"/>
    </row>
    <row r="25" spans="1:26" s="292" customFormat="1">
      <c r="A25" s="293"/>
      <c r="B25" s="294"/>
      <c r="C25" s="294"/>
      <c r="D25" s="294"/>
      <c r="E25" s="294"/>
      <c r="F25" s="294"/>
      <c r="G25" s="294"/>
      <c r="H25" s="294"/>
      <c r="I25" s="294"/>
      <c r="J25" s="294"/>
      <c r="K25" s="296"/>
      <c r="L25" s="294"/>
      <c r="M25" s="294"/>
      <c r="N25" s="294"/>
      <c r="O25" s="294"/>
      <c r="P25" s="296"/>
      <c r="Q25" s="294"/>
      <c r="R25" s="300"/>
      <c r="S25" s="297"/>
      <c r="T25" s="277"/>
      <c r="U25" s="277"/>
      <c r="V25" s="277"/>
      <c r="W25" s="277"/>
      <c r="X25" s="277"/>
      <c r="Y25" s="277"/>
      <c r="Z25" s="277"/>
    </row>
    <row r="26" spans="1:26" s="292" customFormat="1">
      <c r="A26" s="293"/>
      <c r="B26" s="288"/>
      <c r="C26" s="288"/>
      <c r="D26" s="288"/>
      <c r="E26" s="288"/>
      <c r="F26" s="288"/>
      <c r="G26" s="288"/>
      <c r="H26" s="288"/>
      <c r="I26" s="288"/>
      <c r="J26" s="288"/>
      <c r="K26" s="290"/>
      <c r="L26" s="288"/>
      <c r="M26" s="288"/>
      <c r="N26" s="288"/>
      <c r="O26" s="288"/>
      <c r="P26" s="290"/>
      <c r="Q26" s="288"/>
      <c r="R26" s="299"/>
      <c r="S26" s="291"/>
      <c r="T26" s="277"/>
      <c r="U26" s="277"/>
      <c r="V26" s="277"/>
      <c r="W26" s="277"/>
      <c r="X26" s="277"/>
      <c r="Y26" s="277"/>
      <c r="Z26" s="277"/>
    </row>
    <row r="27" spans="1:26" s="292" customFormat="1">
      <c r="A27" s="293"/>
      <c r="B27" s="294"/>
      <c r="C27" s="294"/>
      <c r="D27" s="294"/>
      <c r="E27" s="294"/>
      <c r="F27" s="294"/>
      <c r="G27" s="294"/>
      <c r="H27" s="294"/>
      <c r="I27" s="294"/>
      <c r="J27" s="294"/>
      <c r="K27" s="296"/>
      <c r="L27" s="294"/>
      <c r="M27" s="294"/>
      <c r="N27" s="294"/>
      <c r="O27" s="294"/>
      <c r="P27" s="296"/>
      <c r="Q27" s="294"/>
      <c r="R27" s="300"/>
      <c r="S27" s="297"/>
      <c r="T27" s="277"/>
      <c r="U27" s="277"/>
      <c r="V27" s="277"/>
      <c r="W27" s="277"/>
      <c r="X27" s="277"/>
      <c r="Y27" s="277"/>
      <c r="Z27" s="277"/>
    </row>
    <row r="28" spans="1:26" s="292" customFormat="1">
      <c r="A28" s="293"/>
      <c r="B28" s="288"/>
      <c r="C28" s="288"/>
      <c r="D28" s="288"/>
      <c r="E28" s="288"/>
      <c r="F28" s="288"/>
      <c r="G28" s="288"/>
      <c r="H28" s="288"/>
      <c r="I28" s="288"/>
      <c r="J28" s="288"/>
      <c r="K28" s="290"/>
      <c r="L28" s="288"/>
      <c r="M28" s="288"/>
      <c r="N28" s="288"/>
      <c r="O28" s="288"/>
      <c r="P28" s="290"/>
      <c r="Q28" s="288"/>
      <c r="R28" s="299"/>
      <c r="S28" s="291"/>
      <c r="T28" s="277"/>
      <c r="U28" s="277"/>
      <c r="V28" s="277"/>
      <c r="W28" s="277"/>
      <c r="X28" s="277"/>
      <c r="Y28" s="277"/>
      <c r="Z28" s="277"/>
    </row>
    <row r="29" spans="1:26" s="292" customFormat="1">
      <c r="A29" s="298"/>
      <c r="B29" s="294"/>
      <c r="C29" s="294"/>
      <c r="D29" s="294"/>
      <c r="E29" s="294"/>
      <c r="F29" s="294"/>
      <c r="G29" s="294"/>
      <c r="H29" s="294"/>
      <c r="I29" s="294"/>
      <c r="J29" s="294"/>
      <c r="K29" s="296"/>
      <c r="L29" s="294"/>
      <c r="M29" s="294"/>
      <c r="N29" s="294"/>
      <c r="O29" s="294"/>
      <c r="P29" s="296"/>
      <c r="Q29" s="294"/>
      <c r="R29" s="300"/>
      <c r="S29" s="297"/>
      <c r="T29" s="277"/>
      <c r="U29" s="277"/>
      <c r="V29" s="277"/>
      <c r="W29" s="277"/>
      <c r="X29" s="277"/>
      <c r="Y29" s="277"/>
      <c r="Z29" s="277"/>
    </row>
    <row r="30" spans="1:26" s="292" customFormat="1">
      <c r="A30" s="287"/>
      <c r="B30" s="288"/>
      <c r="C30" s="288"/>
      <c r="D30" s="288"/>
      <c r="E30" s="288"/>
      <c r="F30" s="288"/>
      <c r="G30" s="288"/>
      <c r="H30" s="288"/>
      <c r="I30" s="288"/>
      <c r="J30" s="288"/>
      <c r="K30" s="290"/>
      <c r="L30" s="288"/>
      <c r="M30" s="288"/>
      <c r="N30" s="288"/>
      <c r="O30" s="288"/>
      <c r="P30" s="290"/>
      <c r="Q30" s="288"/>
      <c r="R30" s="299"/>
      <c r="S30" s="291"/>
      <c r="T30" s="277"/>
      <c r="U30" s="277"/>
      <c r="V30" s="277"/>
      <c r="W30" s="277"/>
      <c r="X30" s="277"/>
      <c r="Y30" s="277"/>
      <c r="Z30" s="277"/>
    </row>
    <row r="31" spans="1:26" s="292" customFormat="1">
      <c r="A31" s="293"/>
      <c r="B31" s="294"/>
      <c r="C31" s="294"/>
      <c r="D31" s="294"/>
      <c r="E31" s="294"/>
      <c r="F31" s="294"/>
      <c r="G31" s="294"/>
      <c r="H31" s="294"/>
      <c r="I31" s="294"/>
      <c r="J31" s="294"/>
      <c r="K31" s="296"/>
      <c r="L31" s="294"/>
      <c r="M31" s="294"/>
      <c r="N31" s="294"/>
      <c r="O31" s="294"/>
      <c r="P31" s="296"/>
      <c r="Q31" s="294"/>
      <c r="R31" s="300"/>
      <c r="S31" s="297"/>
      <c r="T31" s="277"/>
      <c r="U31" s="277"/>
      <c r="V31" s="277"/>
      <c r="W31" s="277"/>
      <c r="X31" s="277"/>
      <c r="Y31" s="277"/>
      <c r="Z31" s="277"/>
    </row>
    <row r="32" spans="1:26" s="292" customFormat="1">
      <c r="A32" s="293"/>
      <c r="B32" s="288"/>
      <c r="C32" s="288"/>
      <c r="D32" s="288"/>
      <c r="E32" s="288"/>
      <c r="F32" s="288"/>
      <c r="G32" s="288"/>
      <c r="H32" s="288"/>
      <c r="I32" s="288"/>
      <c r="J32" s="288"/>
      <c r="K32" s="290"/>
      <c r="L32" s="288"/>
      <c r="M32" s="288"/>
      <c r="N32" s="288"/>
      <c r="O32" s="288"/>
      <c r="P32" s="290"/>
      <c r="Q32" s="288"/>
      <c r="R32" s="299"/>
      <c r="S32" s="291"/>
      <c r="T32" s="277"/>
      <c r="U32" s="277"/>
      <c r="V32" s="277"/>
      <c r="W32" s="277"/>
      <c r="X32" s="277"/>
      <c r="Y32" s="277"/>
      <c r="Z32" s="277"/>
    </row>
    <row r="33" spans="1:26" s="292" customFormat="1">
      <c r="A33" s="293"/>
      <c r="B33" s="294"/>
      <c r="C33" s="294"/>
      <c r="D33" s="294"/>
      <c r="E33" s="294"/>
      <c r="F33" s="294"/>
      <c r="G33" s="294"/>
      <c r="H33" s="294"/>
      <c r="I33" s="294"/>
      <c r="J33" s="294"/>
      <c r="K33" s="296"/>
      <c r="L33" s="294"/>
      <c r="M33" s="294"/>
      <c r="N33" s="294"/>
      <c r="O33" s="294"/>
      <c r="P33" s="296"/>
      <c r="Q33" s="294"/>
      <c r="R33" s="300"/>
      <c r="S33" s="297"/>
      <c r="T33" s="277"/>
      <c r="U33" s="277"/>
      <c r="V33" s="277"/>
      <c r="W33" s="277"/>
      <c r="X33" s="277"/>
      <c r="Y33" s="277"/>
      <c r="Z33" s="277"/>
    </row>
    <row r="34" spans="1:26" s="292" customFormat="1">
      <c r="A34" s="293"/>
      <c r="B34" s="288"/>
      <c r="C34" s="288"/>
      <c r="D34" s="288"/>
      <c r="E34" s="288"/>
      <c r="F34" s="288"/>
      <c r="G34" s="288"/>
      <c r="H34" s="288"/>
      <c r="I34" s="288"/>
      <c r="J34" s="288"/>
      <c r="K34" s="290"/>
      <c r="L34" s="288"/>
      <c r="M34" s="288"/>
      <c r="N34" s="288"/>
      <c r="O34" s="288"/>
      <c r="P34" s="290"/>
      <c r="Q34" s="288"/>
      <c r="R34" s="299"/>
      <c r="S34" s="291"/>
      <c r="T34" s="277"/>
      <c r="U34" s="277"/>
      <c r="V34" s="277"/>
      <c r="W34" s="277"/>
      <c r="X34" s="277"/>
      <c r="Y34" s="277"/>
      <c r="Z34" s="277"/>
    </row>
    <row r="35" spans="1:26" s="292" customFormat="1">
      <c r="A35" s="293"/>
      <c r="B35" s="294"/>
      <c r="C35" s="294"/>
      <c r="D35" s="294"/>
      <c r="E35" s="294"/>
      <c r="F35" s="294"/>
      <c r="G35" s="294"/>
      <c r="H35" s="294"/>
      <c r="I35" s="294"/>
      <c r="J35" s="294"/>
      <c r="K35" s="296"/>
      <c r="L35" s="294"/>
      <c r="M35" s="294"/>
      <c r="N35" s="294"/>
      <c r="O35" s="294"/>
      <c r="P35" s="296"/>
      <c r="Q35" s="294"/>
      <c r="R35" s="300"/>
      <c r="S35" s="297"/>
      <c r="T35" s="277"/>
      <c r="U35" s="277"/>
      <c r="V35" s="277"/>
      <c r="W35" s="277"/>
      <c r="X35" s="277"/>
      <c r="Y35" s="277"/>
      <c r="Z35" s="277"/>
    </row>
    <row r="36" spans="1:26" s="292" customFormat="1">
      <c r="A36" s="293"/>
      <c r="B36" s="288"/>
      <c r="C36" s="288"/>
      <c r="D36" s="288"/>
      <c r="E36" s="288"/>
      <c r="F36" s="288"/>
      <c r="G36" s="288"/>
      <c r="H36" s="288"/>
      <c r="I36" s="288"/>
      <c r="J36" s="288"/>
      <c r="K36" s="290"/>
      <c r="L36" s="288"/>
      <c r="M36" s="288"/>
      <c r="N36" s="288"/>
      <c r="O36" s="288"/>
      <c r="P36" s="290"/>
      <c r="Q36" s="288"/>
      <c r="R36" s="299"/>
      <c r="S36" s="291"/>
      <c r="T36" s="277"/>
      <c r="U36" s="277"/>
      <c r="V36" s="277"/>
      <c r="W36" s="277"/>
      <c r="X36" s="277"/>
      <c r="Y36" s="277"/>
      <c r="Z36" s="277"/>
    </row>
    <row r="37" spans="1:26" s="292" customFormat="1">
      <c r="A37" s="298"/>
      <c r="B37" s="294"/>
      <c r="C37" s="294"/>
      <c r="D37" s="294"/>
      <c r="E37" s="294"/>
      <c r="F37" s="294"/>
      <c r="G37" s="294"/>
      <c r="H37" s="294"/>
      <c r="I37" s="294"/>
      <c r="J37" s="294"/>
      <c r="K37" s="296"/>
      <c r="L37" s="294"/>
      <c r="M37" s="294"/>
      <c r="N37" s="294"/>
      <c r="O37" s="294"/>
      <c r="P37" s="296"/>
      <c r="Q37" s="294"/>
      <c r="R37" s="300"/>
      <c r="S37" s="297"/>
      <c r="T37" s="277"/>
      <c r="U37" s="277"/>
      <c r="V37" s="277"/>
      <c r="W37" s="277"/>
      <c r="X37" s="277"/>
      <c r="Y37" s="277"/>
      <c r="Z37" s="277"/>
    </row>
    <row r="38" spans="1:26" s="292" customFormat="1">
      <c r="A38" s="287"/>
      <c r="B38" s="288"/>
      <c r="C38" s="288"/>
      <c r="D38" s="288"/>
      <c r="E38" s="288"/>
      <c r="F38" s="288"/>
      <c r="G38" s="288"/>
      <c r="H38" s="288"/>
      <c r="I38" s="288"/>
      <c r="J38" s="288"/>
      <c r="K38" s="290"/>
      <c r="L38" s="288"/>
      <c r="M38" s="288"/>
      <c r="N38" s="288"/>
      <c r="O38" s="288"/>
      <c r="P38" s="290"/>
      <c r="Q38" s="288"/>
      <c r="R38" s="299"/>
      <c r="S38" s="291"/>
      <c r="T38" s="277"/>
      <c r="U38" s="277"/>
      <c r="V38" s="277"/>
      <c r="W38" s="277"/>
      <c r="X38" s="277"/>
      <c r="Y38" s="277"/>
      <c r="Z38" s="277"/>
    </row>
    <row r="39" spans="1:26" s="292" customFormat="1">
      <c r="A39" s="293"/>
      <c r="B39" s="294"/>
      <c r="C39" s="294"/>
      <c r="D39" s="294"/>
      <c r="E39" s="294"/>
      <c r="F39" s="294"/>
      <c r="G39" s="294"/>
      <c r="H39" s="294"/>
      <c r="I39" s="294"/>
      <c r="J39" s="294"/>
      <c r="K39" s="296"/>
      <c r="L39" s="294"/>
      <c r="M39" s="294"/>
      <c r="N39" s="294"/>
      <c r="O39" s="294"/>
      <c r="P39" s="296"/>
      <c r="Q39" s="294"/>
      <c r="R39" s="300"/>
      <c r="S39" s="297"/>
      <c r="T39" s="277"/>
      <c r="U39" s="277"/>
      <c r="V39" s="277"/>
      <c r="W39" s="277"/>
      <c r="X39" s="277"/>
      <c r="Y39" s="277"/>
      <c r="Z39" s="277"/>
    </row>
    <row r="40" spans="1:26" s="292" customFormat="1">
      <c r="A40" s="293"/>
      <c r="B40" s="288"/>
      <c r="C40" s="288"/>
      <c r="D40" s="288"/>
      <c r="E40" s="288"/>
      <c r="F40" s="288"/>
      <c r="G40" s="288"/>
      <c r="H40" s="288"/>
      <c r="I40" s="288"/>
      <c r="J40" s="288"/>
      <c r="K40" s="290"/>
      <c r="L40" s="288"/>
      <c r="M40" s="288"/>
      <c r="N40" s="288"/>
      <c r="O40" s="288"/>
      <c r="P40" s="290"/>
      <c r="Q40" s="288"/>
      <c r="R40" s="299"/>
      <c r="S40" s="291"/>
      <c r="T40" s="277"/>
      <c r="U40" s="277"/>
      <c r="V40" s="277"/>
      <c r="W40" s="277"/>
      <c r="X40" s="277"/>
      <c r="Y40" s="277"/>
      <c r="Z40" s="277"/>
    </row>
    <row r="41" spans="1:26" s="292" customFormat="1">
      <c r="A41" s="293"/>
      <c r="B41" s="294"/>
      <c r="C41" s="294"/>
      <c r="D41" s="294"/>
      <c r="E41" s="294"/>
      <c r="F41" s="294"/>
      <c r="G41" s="294"/>
      <c r="H41" s="294"/>
      <c r="I41" s="294"/>
      <c r="J41" s="294"/>
      <c r="K41" s="296"/>
      <c r="L41" s="294"/>
      <c r="M41" s="294"/>
      <c r="N41" s="294"/>
      <c r="O41" s="294"/>
      <c r="P41" s="296"/>
      <c r="Q41" s="294"/>
      <c r="R41" s="300"/>
      <c r="S41" s="297"/>
      <c r="T41" s="277"/>
      <c r="U41" s="277"/>
      <c r="V41" s="277"/>
      <c r="W41" s="277"/>
      <c r="X41" s="277"/>
      <c r="Y41" s="277"/>
      <c r="Z41" s="277"/>
    </row>
    <row r="42" spans="1:26" s="292" customFormat="1">
      <c r="A42" s="293"/>
      <c r="B42" s="288"/>
      <c r="C42" s="288"/>
      <c r="D42" s="288"/>
      <c r="E42" s="288"/>
      <c r="F42" s="288"/>
      <c r="G42" s="288"/>
      <c r="H42" s="288"/>
      <c r="I42" s="288"/>
      <c r="J42" s="288"/>
      <c r="K42" s="290"/>
      <c r="L42" s="288"/>
      <c r="M42" s="288"/>
      <c r="N42" s="288"/>
      <c r="O42" s="288"/>
      <c r="P42" s="290"/>
      <c r="Q42" s="288"/>
      <c r="R42" s="299"/>
      <c r="S42" s="291"/>
      <c r="T42" s="277"/>
      <c r="U42" s="277"/>
      <c r="V42" s="277"/>
      <c r="W42" s="277"/>
      <c r="X42" s="277"/>
      <c r="Y42" s="277"/>
      <c r="Z42" s="277"/>
    </row>
    <row r="43" spans="1:26" s="292" customFormat="1">
      <c r="A43" s="293"/>
      <c r="B43" s="294"/>
      <c r="C43" s="294"/>
      <c r="D43" s="294"/>
      <c r="E43" s="294"/>
      <c r="F43" s="294"/>
      <c r="G43" s="294"/>
      <c r="H43" s="294"/>
      <c r="I43" s="294"/>
      <c r="J43" s="294"/>
      <c r="K43" s="296"/>
      <c r="L43" s="294"/>
      <c r="M43" s="294"/>
      <c r="N43" s="294"/>
      <c r="O43" s="294"/>
      <c r="P43" s="296"/>
      <c r="Q43" s="294"/>
      <c r="R43" s="300"/>
      <c r="S43" s="297"/>
      <c r="T43" s="277"/>
      <c r="U43" s="277"/>
      <c r="V43" s="277"/>
      <c r="W43" s="277"/>
      <c r="X43" s="277"/>
      <c r="Y43" s="277"/>
      <c r="Z43" s="277"/>
    </row>
    <row r="44" spans="1:26" s="292" customFormat="1">
      <c r="A44" s="293"/>
      <c r="B44" s="288"/>
      <c r="C44" s="288"/>
      <c r="D44" s="288"/>
      <c r="E44" s="288"/>
      <c r="F44" s="288"/>
      <c r="G44" s="288"/>
      <c r="H44" s="288"/>
      <c r="I44" s="288"/>
      <c r="J44" s="288"/>
      <c r="K44" s="290"/>
      <c r="L44" s="288"/>
      <c r="M44" s="288"/>
      <c r="N44" s="288"/>
      <c r="O44" s="288"/>
      <c r="P44" s="290"/>
      <c r="Q44" s="288"/>
      <c r="R44" s="299"/>
      <c r="S44" s="291"/>
      <c r="T44" s="277"/>
      <c r="U44" s="277"/>
      <c r="V44" s="277"/>
      <c r="W44" s="277"/>
      <c r="X44" s="277"/>
      <c r="Y44" s="277"/>
      <c r="Z44" s="277"/>
    </row>
    <row r="45" spans="1:26" s="292" customFormat="1">
      <c r="A45" s="298"/>
      <c r="B45" s="294"/>
      <c r="C45" s="294"/>
      <c r="D45" s="294"/>
      <c r="E45" s="294"/>
      <c r="F45" s="294"/>
      <c r="G45" s="294"/>
      <c r="H45" s="294"/>
      <c r="I45" s="294"/>
      <c r="J45" s="294"/>
      <c r="K45" s="296"/>
      <c r="L45" s="294"/>
      <c r="M45" s="294"/>
      <c r="N45" s="294"/>
      <c r="O45" s="294"/>
      <c r="P45" s="296"/>
      <c r="Q45" s="294"/>
      <c r="R45" s="300"/>
      <c r="S45" s="297"/>
      <c r="T45" s="277"/>
      <c r="U45" s="277"/>
      <c r="V45" s="277"/>
      <c r="W45" s="277"/>
      <c r="X45" s="277"/>
      <c r="Y45" s="277"/>
      <c r="Z45" s="277"/>
    </row>
    <row r="46" spans="1:26" s="292" customFormat="1">
      <c r="A46" s="287"/>
      <c r="B46" s="288"/>
      <c r="C46" s="288"/>
      <c r="D46" s="288"/>
      <c r="E46" s="288"/>
      <c r="F46" s="288"/>
      <c r="G46" s="288"/>
      <c r="H46" s="288"/>
      <c r="I46" s="288"/>
      <c r="J46" s="288"/>
      <c r="K46" s="290"/>
      <c r="L46" s="288"/>
      <c r="M46" s="288"/>
      <c r="N46" s="288"/>
      <c r="O46" s="288"/>
      <c r="P46" s="290"/>
      <c r="Q46" s="288"/>
      <c r="R46" s="299"/>
      <c r="S46" s="291"/>
      <c r="T46" s="277"/>
      <c r="U46" s="277"/>
      <c r="V46" s="277"/>
      <c r="W46" s="277"/>
      <c r="X46" s="277"/>
      <c r="Y46" s="277"/>
      <c r="Z46" s="277"/>
    </row>
    <row r="47" spans="1:26" s="292" customFormat="1">
      <c r="A47" s="293"/>
      <c r="B47" s="294"/>
      <c r="C47" s="294"/>
      <c r="D47" s="294"/>
      <c r="E47" s="294"/>
      <c r="F47" s="294"/>
      <c r="G47" s="294"/>
      <c r="H47" s="294"/>
      <c r="I47" s="294"/>
      <c r="J47" s="294"/>
      <c r="K47" s="296"/>
      <c r="L47" s="294"/>
      <c r="M47" s="294"/>
      <c r="N47" s="294"/>
      <c r="O47" s="294"/>
      <c r="P47" s="296"/>
      <c r="Q47" s="294"/>
      <c r="R47" s="300"/>
      <c r="S47" s="297"/>
      <c r="T47" s="277"/>
      <c r="U47" s="277"/>
      <c r="V47" s="277"/>
      <c r="W47" s="277"/>
      <c r="X47" s="277"/>
      <c r="Y47" s="277"/>
      <c r="Z47" s="277"/>
    </row>
    <row r="48" spans="1:26" s="292" customFormat="1">
      <c r="A48" s="293"/>
      <c r="B48" s="288"/>
      <c r="C48" s="288"/>
      <c r="D48" s="288"/>
      <c r="E48" s="288"/>
      <c r="F48" s="288"/>
      <c r="G48" s="288"/>
      <c r="H48" s="288"/>
      <c r="I48" s="288"/>
      <c r="J48" s="288"/>
      <c r="K48" s="290"/>
      <c r="L48" s="288"/>
      <c r="M48" s="288"/>
      <c r="N48" s="288"/>
      <c r="O48" s="288"/>
      <c r="P48" s="290"/>
      <c r="Q48" s="288"/>
      <c r="R48" s="299"/>
      <c r="S48" s="291"/>
      <c r="T48" s="277"/>
      <c r="U48" s="277"/>
      <c r="V48" s="277"/>
      <c r="W48" s="277"/>
      <c r="X48" s="277"/>
      <c r="Y48" s="277"/>
      <c r="Z48" s="277"/>
    </row>
    <row r="49" spans="1:26" s="292" customFormat="1">
      <c r="A49" s="293"/>
      <c r="B49" s="294"/>
      <c r="C49" s="294"/>
      <c r="D49" s="294"/>
      <c r="E49" s="294"/>
      <c r="F49" s="294"/>
      <c r="G49" s="294"/>
      <c r="H49" s="294"/>
      <c r="I49" s="294"/>
      <c r="J49" s="294"/>
      <c r="K49" s="296"/>
      <c r="L49" s="294"/>
      <c r="M49" s="294"/>
      <c r="N49" s="294"/>
      <c r="O49" s="294"/>
      <c r="P49" s="296"/>
      <c r="Q49" s="294"/>
      <c r="R49" s="300"/>
      <c r="S49" s="297"/>
      <c r="T49" s="277"/>
      <c r="U49" s="277"/>
      <c r="V49" s="277"/>
      <c r="W49" s="277"/>
      <c r="X49" s="277"/>
      <c r="Y49" s="277"/>
      <c r="Z49" s="277"/>
    </row>
    <row r="50" spans="1:26" s="292" customFormat="1">
      <c r="A50" s="293"/>
      <c r="B50" s="288"/>
      <c r="C50" s="288"/>
      <c r="D50" s="288"/>
      <c r="E50" s="288"/>
      <c r="F50" s="288"/>
      <c r="G50" s="288"/>
      <c r="H50" s="288"/>
      <c r="I50" s="288"/>
      <c r="J50" s="288"/>
      <c r="K50" s="290"/>
      <c r="L50" s="288"/>
      <c r="M50" s="288"/>
      <c r="N50" s="288"/>
      <c r="O50" s="288"/>
      <c r="P50" s="290"/>
      <c r="Q50" s="288"/>
      <c r="R50" s="299"/>
      <c r="S50" s="291"/>
      <c r="T50" s="277"/>
      <c r="U50" s="277"/>
      <c r="V50" s="277"/>
      <c r="W50" s="277"/>
      <c r="X50" s="277"/>
      <c r="Y50" s="277"/>
      <c r="Z50" s="277"/>
    </row>
    <row r="51" spans="1:26" s="292" customFormat="1">
      <c r="A51" s="293"/>
      <c r="B51" s="294"/>
      <c r="C51" s="294"/>
      <c r="D51" s="294"/>
      <c r="E51" s="294"/>
      <c r="F51" s="294"/>
      <c r="G51" s="294"/>
      <c r="H51" s="294"/>
      <c r="I51" s="294"/>
      <c r="J51" s="294"/>
      <c r="K51" s="296"/>
      <c r="L51" s="294"/>
      <c r="M51" s="294"/>
      <c r="N51" s="294"/>
      <c r="O51" s="294"/>
      <c r="P51" s="296"/>
      <c r="Q51" s="294"/>
      <c r="R51" s="300"/>
      <c r="S51" s="297"/>
      <c r="T51" s="277"/>
      <c r="U51" s="277"/>
      <c r="V51" s="277"/>
      <c r="W51" s="277"/>
      <c r="X51" s="277"/>
      <c r="Y51" s="277"/>
      <c r="Z51" s="277"/>
    </row>
    <row r="52" spans="1:26" s="292" customFormat="1">
      <c r="A52" s="293"/>
      <c r="B52" s="288"/>
      <c r="C52" s="288"/>
      <c r="D52" s="288"/>
      <c r="E52" s="288"/>
      <c r="F52" s="288"/>
      <c r="G52" s="288"/>
      <c r="H52" s="288"/>
      <c r="I52" s="288"/>
      <c r="J52" s="288"/>
      <c r="K52" s="290"/>
      <c r="L52" s="288"/>
      <c r="M52" s="288"/>
      <c r="N52" s="288"/>
      <c r="O52" s="288"/>
      <c r="P52" s="290"/>
      <c r="Q52" s="288"/>
      <c r="R52" s="299"/>
      <c r="S52" s="291"/>
      <c r="T52" s="277"/>
      <c r="U52" s="277"/>
      <c r="V52" s="277"/>
      <c r="W52" s="277"/>
      <c r="X52" s="277"/>
      <c r="Y52" s="277"/>
      <c r="Z52" s="277"/>
    </row>
    <row r="53" spans="1:26" s="292" customFormat="1">
      <c r="A53" s="298"/>
      <c r="B53" s="294"/>
      <c r="C53" s="294"/>
      <c r="D53" s="294"/>
      <c r="E53" s="294"/>
      <c r="F53" s="294"/>
      <c r="G53" s="294"/>
      <c r="H53" s="294"/>
      <c r="I53" s="294"/>
      <c r="J53" s="294"/>
      <c r="K53" s="296"/>
      <c r="L53" s="294"/>
      <c r="M53" s="294"/>
      <c r="N53" s="294"/>
      <c r="O53" s="294"/>
      <c r="P53" s="296"/>
      <c r="Q53" s="294"/>
      <c r="R53" s="300"/>
      <c r="S53" s="297"/>
      <c r="T53" s="277"/>
      <c r="U53" s="277"/>
      <c r="V53" s="277"/>
      <c r="W53" s="277"/>
      <c r="X53" s="277"/>
      <c r="Y53" s="277"/>
      <c r="Z53" s="277"/>
    </row>
    <row r="54" spans="1:26" s="292" customFormat="1">
      <c r="A54" s="287"/>
      <c r="B54" s="288"/>
      <c r="C54" s="288"/>
      <c r="D54" s="288"/>
      <c r="E54" s="288"/>
      <c r="F54" s="288"/>
      <c r="G54" s="288"/>
      <c r="H54" s="288"/>
      <c r="I54" s="288"/>
      <c r="J54" s="288"/>
      <c r="K54" s="290"/>
      <c r="L54" s="288"/>
      <c r="M54" s="288"/>
      <c r="N54" s="288"/>
      <c r="O54" s="288"/>
      <c r="P54" s="290"/>
      <c r="Q54" s="288"/>
      <c r="R54" s="299"/>
      <c r="S54" s="291"/>
      <c r="T54" s="277"/>
      <c r="U54" s="277"/>
      <c r="V54" s="277"/>
      <c r="W54" s="277"/>
      <c r="X54" s="277"/>
      <c r="Y54" s="277"/>
      <c r="Z54" s="277"/>
    </row>
    <row r="55" spans="1:26" s="292" customFormat="1">
      <c r="A55" s="293"/>
      <c r="B55" s="294"/>
      <c r="C55" s="294"/>
      <c r="D55" s="294"/>
      <c r="E55" s="294"/>
      <c r="F55" s="294"/>
      <c r="G55" s="294"/>
      <c r="H55" s="294"/>
      <c r="I55" s="294"/>
      <c r="J55" s="294"/>
      <c r="K55" s="296"/>
      <c r="L55" s="294"/>
      <c r="M55" s="294"/>
      <c r="N55" s="294"/>
      <c r="O55" s="294"/>
      <c r="P55" s="296"/>
      <c r="Q55" s="294"/>
      <c r="R55" s="300"/>
      <c r="S55" s="297"/>
      <c r="T55" s="277"/>
      <c r="U55" s="277"/>
      <c r="V55" s="277"/>
      <c r="W55" s="277"/>
      <c r="X55" s="277"/>
      <c r="Y55" s="277"/>
      <c r="Z55" s="277"/>
    </row>
    <row r="56" spans="1:26" s="292" customFormat="1">
      <c r="A56" s="293"/>
      <c r="B56" s="288"/>
      <c r="C56" s="288"/>
      <c r="D56" s="288"/>
      <c r="E56" s="288"/>
      <c r="F56" s="288"/>
      <c r="G56" s="288"/>
      <c r="H56" s="288"/>
      <c r="I56" s="288"/>
      <c r="J56" s="288"/>
      <c r="K56" s="290"/>
      <c r="L56" s="288"/>
      <c r="M56" s="288"/>
      <c r="N56" s="288"/>
      <c r="O56" s="288"/>
      <c r="P56" s="290"/>
      <c r="Q56" s="288"/>
      <c r="R56" s="299"/>
      <c r="S56" s="291"/>
      <c r="T56" s="277"/>
      <c r="U56" s="277"/>
      <c r="V56" s="277"/>
      <c r="W56" s="277"/>
      <c r="X56" s="277"/>
      <c r="Y56" s="277"/>
      <c r="Z56" s="277"/>
    </row>
    <row r="57" spans="1:26" s="292" customFormat="1">
      <c r="A57" s="293"/>
      <c r="B57" s="294"/>
      <c r="C57" s="294"/>
      <c r="D57" s="294"/>
      <c r="E57" s="294"/>
      <c r="F57" s="294"/>
      <c r="G57" s="294"/>
      <c r="H57" s="294"/>
      <c r="I57" s="294"/>
      <c r="J57" s="294"/>
      <c r="K57" s="296"/>
      <c r="L57" s="294"/>
      <c r="M57" s="294"/>
      <c r="N57" s="294"/>
      <c r="O57" s="294"/>
      <c r="P57" s="296"/>
      <c r="Q57" s="294"/>
      <c r="R57" s="300"/>
      <c r="S57" s="297"/>
      <c r="T57" s="277"/>
      <c r="U57" s="277"/>
      <c r="V57" s="277"/>
      <c r="W57" s="277"/>
      <c r="X57" s="277"/>
      <c r="Y57" s="277"/>
      <c r="Z57" s="277"/>
    </row>
    <row r="58" spans="1:26" s="292" customFormat="1">
      <c r="A58" s="293"/>
      <c r="B58" s="288"/>
      <c r="C58" s="288"/>
      <c r="D58" s="288"/>
      <c r="E58" s="288"/>
      <c r="F58" s="288"/>
      <c r="G58" s="288"/>
      <c r="H58" s="288"/>
      <c r="I58" s="288"/>
      <c r="J58" s="288"/>
      <c r="K58" s="290"/>
      <c r="L58" s="288"/>
      <c r="M58" s="288"/>
      <c r="N58" s="288"/>
      <c r="O58" s="288"/>
      <c r="P58" s="290"/>
      <c r="Q58" s="288"/>
      <c r="R58" s="299"/>
      <c r="S58" s="291"/>
      <c r="T58" s="277"/>
      <c r="U58" s="277"/>
      <c r="V58" s="277"/>
      <c r="W58" s="277"/>
      <c r="X58" s="277"/>
      <c r="Y58" s="277"/>
      <c r="Z58" s="277"/>
    </row>
    <row r="59" spans="1:26" s="292" customFormat="1">
      <c r="A59" s="293"/>
      <c r="B59" s="294"/>
      <c r="C59" s="294"/>
      <c r="D59" s="294"/>
      <c r="E59" s="294"/>
      <c r="F59" s="294"/>
      <c r="G59" s="294"/>
      <c r="H59" s="294"/>
      <c r="I59" s="294"/>
      <c r="J59" s="294"/>
      <c r="K59" s="296"/>
      <c r="L59" s="294"/>
      <c r="M59" s="294"/>
      <c r="N59" s="294"/>
      <c r="O59" s="294"/>
      <c r="P59" s="296"/>
      <c r="Q59" s="294"/>
      <c r="R59" s="300"/>
      <c r="S59" s="297"/>
      <c r="T59" s="277"/>
      <c r="U59" s="277"/>
      <c r="V59" s="277"/>
      <c r="W59" s="277"/>
      <c r="X59" s="277"/>
      <c r="Y59" s="277"/>
      <c r="Z59" s="277"/>
    </row>
    <row r="60" spans="1:26" s="292" customFormat="1">
      <c r="A60" s="293"/>
      <c r="B60" s="288"/>
      <c r="C60" s="288"/>
      <c r="D60" s="288"/>
      <c r="E60" s="288"/>
      <c r="F60" s="288"/>
      <c r="G60" s="288"/>
      <c r="H60" s="288"/>
      <c r="I60" s="288"/>
      <c r="J60" s="288"/>
      <c r="K60" s="290"/>
      <c r="L60" s="288"/>
      <c r="M60" s="288"/>
      <c r="N60" s="288"/>
      <c r="O60" s="288"/>
      <c r="P60" s="290"/>
      <c r="Q60" s="288"/>
      <c r="R60" s="299"/>
      <c r="S60" s="291"/>
      <c r="T60" s="277"/>
      <c r="U60" s="277"/>
      <c r="V60" s="277"/>
      <c r="W60" s="277"/>
      <c r="X60" s="277"/>
      <c r="Y60" s="277"/>
      <c r="Z60" s="277"/>
    </row>
    <row r="61" spans="1:26" s="292" customFormat="1">
      <c r="A61" s="298"/>
      <c r="B61" s="294"/>
      <c r="C61" s="294"/>
      <c r="D61" s="294"/>
      <c r="E61" s="294"/>
      <c r="F61" s="294"/>
      <c r="G61" s="294"/>
      <c r="H61" s="294"/>
      <c r="I61" s="294"/>
      <c r="J61" s="294"/>
      <c r="K61" s="296"/>
      <c r="L61" s="294"/>
      <c r="M61" s="294"/>
      <c r="N61" s="294"/>
      <c r="O61" s="294"/>
      <c r="P61" s="296"/>
      <c r="Q61" s="294"/>
      <c r="R61" s="300"/>
      <c r="S61" s="297"/>
      <c r="T61" s="277"/>
      <c r="U61" s="277"/>
      <c r="V61" s="277"/>
      <c r="W61" s="277"/>
      <c r="X61" s="277"/>
      <c r="Y61" s="277"/>
      <c r="Z61" s="277"/>
    </row>
    <row r="62" spans="1:26" s="292" customFormat="1">
      <c r="A62" s="287"/>
      <c r="B62" s="288"/>
      <c r="C62" s="288"/>
      <c r="D62" s="288"/>
      <c r="E62" s="288"/>
      <c r="F62" s="288"/>
      <c r="G62" s="288"/>
      <c r="H62" s="288"/>
      <c r="I62" s="288"/>
      <c r="J62" s="288"/>
      <c r="K62" s="290"/>
      <c r="L62" s="288"/>
      <c r="M62" s="288"/>
      <c r="N62" s="288"/>
      <c r="O62" s="288"/>
      <c r="P62" s="290"/>
      <c r="Q62" s="288"/>
      <c r="R62" s="299"/>
      <c r="S62" s="291"/>
      <c r="T62" s="277"/>
      <c r="U62" s="277"/>
      <c r="V62" s="277"/>
      <c r="W62" s="277"/>
      <c r="X62" s="277"/>
      <c r="Y62" s="277"/>
      <c r="Z62" s="277"/>
    </row>
    <row r="63" spans="1:26" s="292" customFormat="1">
      <c r="A63" s="293"/>
      <c r="B63" s="294"/>
      <c r="C63" s="294"/>
      <c r="D63" s="294"/>
      <c r="E63" s="294"/>
      <c r="F63" s="294"/>
      <c r="G63" s="294"/>
      <c r="H63" s="294"/>
      <c r="I63" s="294"/>
      <c r="J63" s="294"/>
      <c r="K63" s="296"/>
      <c r="L63" s="294"/>
      <c r="M63" s="294"/>
      <c r="N63" s="294"/>
      <c r="O63" s="294"/>
      <c r="P63" s="296"/>
      <c r="Q63" s="294"/>
      <c r="R63" s="300"/>
      <c r="S63" s="297"/>
      <c r="T63" s="277"/>
      <c r="U63" s="277"/>
      <c r="V63" s="277"/>
      <c r="W63" s="277"/>
      <c r="X63" s="277"/>
      <c r="Y63" s="277"/>
      <c r="Z63" s="277"/>
    </row>
    <row r="64" spans="1:26" s="292" customFormat="1">
      <c r="A64" s="293"/>
      <c r="B64" s="288"/>
      <c r="C64" s="288"/>
      <c r="D64" s="288"/>
      <c r="E64" s="288"/>
      <c r="F64" s="288"/>
      <c r="G64" s="288"/>
      <c r="H64" s="288"/>
      <c r="I64" s="288"/>
      <c r="J64" s="288"/>
      <c r="K64" s="290"/>
      <c r="L64" s="288"/>
      <c r="M64" s="288"/>
      <c r="N64" s="288"/>
      <c r="O64" s="288"/>
      <c r="P64" s="290"/>
      <c r="Q64" s="288"/>
      <c r="R64" s="299"/>
      <c r="S64" s="291"/>
      <c r="T64" s="277"/>
      <c r="U64" s="277"/>
      <c r="V64" s="277"/>
      <c r="W64" s="277"/>
      <c r="X64" s="277"/>
      <c r="Y64" s="277"/>
      <c r="Z64" s="277"/>
    </row>
    <row r="65" spans="1:26" s="292" customFormat="1">
      <c r="A65" s="293"/>
      <c r="B65" s="294"/>
      <c r="C65" s="294"/>
      <c r="D65" s="294"/>
      <c r="E65" s="294"/>
      <c r="F65" s="294"/>
      <c r="G65" s="294"/>
      <c r="H65" s="294"/>
      <c r="I65" s="294"/>
      <c r="J65" s="294"/>
      <c r="K65" s="296"/>
      <c r="L65" s="294"/>
      <c r="M65" s="294"/>
      <c r="N65" s="294"/>
      <c r="O65" s="294"/>
      <c r="P65" s="296"/>
      <c r="Q65" s="294"/>
      <c r="R65" s="300"/>
      <c r="S65" s="297"/>
      <c r="T65" s="277"/>
      <c r="U65" s="277"/>
      <c r="V65" s="277"/>
      <c r="W65" s="277"/>
      <c r="X65" s="277"/>
      <c r="Y65" s="277"/>
      <c r="Z65" s="277"/>
    </row>
    <row r="66" spans="1:26" s="292" customFormat="1">
      <c r="A66" s="293"/>
      <c r="B66" s="288"/>
      <c r="C66" s="288"/>
      <c r="D66" s="288"/>
      <c r="E66" s="288"/>
      <c r="F66" s="288"/>
      <c r="G66" s="288"/>
      <c r="H66" s="288"/>
      <c r="I66" s="288"/>
      <c r="J66" s="288"/>
      <c r="K66" s="290"/>
      <c r="L66" s="288"/>
      <c r="M66" s="288"/>
      <c r="N66" s="288"/>
      <c r="O66" s="288"/>
      <c r="P66" s="290"/>
      <c r="Q66" s="288"/>
      <c r="R66" s="299"/>
      <c r="S66" s="291"/>
      <c r="T66" s="277"/>
      <c r="U66" s="277"/>
      <c r="V66" s="277"/>
      <c r="W66" s="277"/>
      <c r="X66" s="277"/>
      <c r="Y66" s="277"/>
      <c r="Z66" s="277"/>
    </row>
    <row r="67" spans="1:26" s="292" customFormat="1">
      <c r="A67" s="293"/>
      <c r="B67" s="294"/>
      <c r="C67" s="294"/>
      <c r="D67" s="294"/>
      <c r="E67" s="294"/>
      <c r="F67" s="294"/>
      <c r="G67" s="294"/>
      <c r="H67" s="294"/>
      <c r="I67" s="294"/>
      <c r="J67" s="294"/>
      <c r="K67" s="296"/>
      <c r="L67" s="294"/>
      <c r="M67" s="294"/>
      <c r="N67" s="294"/>
      <c r="O67" s="294"/>
      <c r="P67" s="296"/>
      <c r="Q67" s="294"/>
      <c r="R67" s="300"/>
      <c r="S67" s="297"/>
      <c r="T67" s="277"/>
      <c r="U67" s="277"/>
      <c r="V67" s="277"/>
      <c r="W67" s="277"/>
      <c r="X67" s="277"/>
      <c r="Y67" s="277"/>
      <c r="Z67" s="277"/>
    </row>
    <row r="68" spans="1:26" s="292" customFormat="1">
      <c r="A68" s="293"/>
      <c r="B68" s="288"/>
      <c r="C68" s="288"/>
      <c r="D68" s="288"/>
      <c r="E68" s="288"/>
      <c r="F68" s="288"/>
      <c r="G68" s="288"/>
      <c r="H68" s="288"/>
      <c r="I68" s="288"/>
      <c r="J68" s="288"/>
      <c r="K68" s="290"/>
      <c r="L68" s="288"/>
      <c r="M68" s="288"/>
      <c r="N68" s="288"/>
      <c r="O68" s="288"/>
      <c r="P68" s="290"/>
      <c r="Q68" s="288"/>
      <c r="R68" s="299"/>
      <c r="S68" s="291"/>
      <c r="T68" s="277"/>
      <c r="U68" s="277"/>
      <c r="V68" s="277"/>
      <c r="W68" s="277"/>
      <c r="X68" s="277"/>
      <c r="Y68" s="277"/>
      <c r="Z68" s="277"/>
    </row>
    <row r="69" spans="1:26" s="292" customFormat="1">
      <c r="A69" s="298"/>
      <c r="B69" s="294"/>
      <c r="C69" s="294"/>
      <c r="D69" s="294"/>
      <c r="E69" s="294"/>
      <c r="F69" s="294"/>
      <c r="G69" s="294"/>
      <c r="H69" s="294"/>
      <c r="I69" s="294"/>
      <c r="J69" s="294"/>
      <c r="K69" s="296"/>
      <c r="L69" s="294"/>
      <c r="M69" s="294"/>
      <c r="N69" s="294"/>
      <c r="O69" s="294"/>
      <c r="P69" s="296"/>
      <c r="Q69" s="294"/>
      <c r="R69" s="300"/>
      <c r="S69" s="297"/>
      <c r="T69" s="277"/>
      <c r="U69" s="277"/>
      <c r="V69" s="277"/>
      <c r="W69" s="277"/>
      <c r="X69" s="277"/>
      <c r="Y69" s="277"/>
      <c r="Z69" s="277"/>
    </row>
    <row r="70" spans="1:26" s="292" customFormat="1">
      <c r="A70" s="287"/>
      <c r="B70" s="288"/>
      <c r="C70" s="288"/>
      <c r="D70" s="288"/>
      <c r="E70" s="288"/>
      <c r="F70" s="288"/>
      <c r="G70" s="288"/>
      <c r="H70" s="288"/>
      <c r="I70" s="288"/>
      <c r="J70" s="288"/>
      <c r="K70" s="290"/>
      <c r="L70" s="288"/>
      <c r="M70" s="288"/>
      <c r="N70" s="288"/>
      <c r="O70" s="288"/>
      <c r="P70" s="290"/>
      <c r="Q70" s="288"/>
      <c r="R70" s="299"/>
      <c r="S70" s="291"/>
      <c r="T70" s="277"/>
      <c r="U70" s="277"/>
      <c r="V70" s="277"/>
      <c r="W70" s="277"/>
      <c r="X70" s="277"/>
      <c r="Y70" s="277"/>
      <c r="Z70" s="277"/>
    </row>
    <row r="71" spans="1:26" s="292" customFormat="1">
      <c r="A71" s="293"/>
      <c r="B71" s="294"/>
      <c r="C71" s="294"/>
      <c r="D71" s="294"/>
      <c r="E71" s="294"/>
      <c r="F71" s="294"/>
      <c r="G71" s="294"/>
      <c r="H71" s="294"/>
      <c r="I71" s="294"/>
      <c r="J71" s="294"/>
      <c r="K71" s="296"/>
      <c r="L71" s="294"/>
      <c r="M71" s="294"/>
      <c r="N71" s="294"/>
      <c r="O71" s="294"/>
      <c r="P71" s="296"/>
      <c r="Q71" s="294"/>
      <c r="R71" s="300"/>
      <c r="S71" s="297"/>
      <c r="T71" s="277"/>
      <c r="U71" s="277"/>
      <c r="V71" s="277"/>
      <c r="W71" s="277"/>
      <c r="X71" s="277"/>
      <c r="Y71" s="277"/>
      <c r="Z71" s="277"/>
    </row>
    <row r="72" spans="1:26" s="292" customFormat="1">
      <c r="A72" s="293"/>
      <c r="B72" s="288"/>
      <c r="C72" s="288"/>
      <c r="D72" s="288"/>
      <c r="E72" s="288"/>
      <c r="F72" s="288"/>
      <c r="G72" s="288"/>
      <c r="H72" s="288"/>
      <c r="I72" s="288"/>
      <c r="J72" s="288"/>
      <c r="K72" s="290"/>
      <c r="L72" s="288"/>
      <c r="M72" s="288"/>
      <c r="N72" s="288"/>
      <c r="O72" s="288"/>
      <c r="P72" s="290"/>
      <c r="Q72" s="288"/>
      <c r="R72" s="299"/>
      <c r="S72" s="291"/>
      <c r="T72" s="277"/>
      <c r="U72" s="277"/>
      <c r="V72" s="277"/>
      <c r="W72" s="277"/>
      <c r="X72" s="277"/>
      <c r="Y72" s="277"/>
      <c r="Z72" s="277"/>
    </row>
    <row r="73" spans="1:26" s="292" customFormat="1">
      <c r="A73" s="293"/>
      <c r="B73" s="294"/>
      <c r="C73" s="294"/>
      <c r="D73" s="294"/>
      <c r="E73" s="294"/>
      <c r="F73" s="294"/>
      <c r="G73" s="294"/>
      <c r="H73" s="294"/>
      <c r="I73" s="294"/>
      <c r="J73" s="294"/>
      <c r="K73" s="296"/>
      <c r="L73" s="294"/>
      <c r="M73" s="294"/>
      <c r="N73" s="294"/>
      <c r="O73" s="294"/>
      <c r="P73" s="296"/>
      <c r="Q73" s="294"/>
      <c r="R73" s="300"/>
      <c r="S73" s="297"/>
      <c r="T73" s="277"/>
      <c r="U73" s="277"/>
      <c r="V73" s="277"/>
      <c r="W73" s="277"/>
      <c r="X73" s="277"/>
      <c r="Y73" s="277"/>
      <c r="Z73" s="277"/>
    </row>
    <row r="74" spans="1:26" s="292" customFormat="1">
      <c r="A74" s="293"/>
      <c r="B74" s="288"/>
      <c r="C74" s="288"/>
      <c r="D74" s="288"/>
      <c r="E74" s="288"/>
      <c r="F74" s="288"/>
      <c r="G74" s="288"/>
      <c r="H74" s="288"/>
      <c r="I74" s="288"/>
      <c r="J74" s="288"/>
      <c r="K74" s="290"/>
      <c r="L74" s="288"/>
      <c r="M74" s="288"/>
      <c r="N74" s="288"/>
      <c r="O74" s="288"/>
      <c r="P74" s="290"/>
      <c r="Q74" s="288"/>
      <c r="R74" s="299"/>
      <c r="S74" s="291"/>
      <c r="T74" s="277"/>
      <c r="U74" s="277"/>
      <c r="V74" s="277"/>
      <c r="W74" s="277"/>
      <c r="X74" s="277"/>
      <c r="Y74" s="277"/>
      <c r="Z74" s="277"/>
    </row>
    <row r="75" spans="1:26" s="292" customFormat="1">
      <c r="A75" s="293"/>
      <c r="B75" s="294"/>
      <c r="C75" s="294"/>
      <c r="D75" s="294"/>
      <c r="E75" s="294"/>
      <c r="F75" s="294"/>
      <c r="G75" s="294"/>
      <c r="H75" s="294"/>
      <c r="I75" s="294"/>
      <c r="J75" s="294"/>
      <c r="K75" s="296"/>
      <c r="L75" s="294"/>
      <c r="M75" s="294"/>
      <c r="N75" s="294"/>
      <c r="O75" s="294"/>
      <c r="P75" s="296"/>
      <c r="Q75" s="294"/>
      <c r="R75" s="300"/>
      <c r="S75" s="297"/>
      <c r="T75" s="277"/>
      <c r="U75" s="277"/>
      <c r="V75" s="277"/>
      <c r="W75" s="277"/>
      <c r="X75" s="277"/>
      <c r="Y75" s="277"/>
      <c r="Z75" s="277"/>
    </row>
    <row r="76" spans="1:26" s="292" customFormat="1">
      <c r="A76" s="293"/>
      <c r="B76" s="288"/>
      <c r="C76" s="288"/>
      <c r="D76" s="288"/>
      <c r="E76" s="288"/>
      <c r="F76" s="288"/>
      <c r="G76" s="288"/>
      <c r="H76" s="288"/>
      <c r="I76" s="288"/>
      <c r="J76" s="288"/>
      <c r="K76" s="290"/>
      <c r="L76" s="288"/>
      <c r="M76" s="288"/>
      <c r="N76" s="288"/>
      <c r="O76" s="288"/>
      <c r="P76" s="290"/>
      <c r="Q76" s="288"/>
      <c r="R76" s="299"/>
      <c r="S76" s="291"/>
      <c r="T76" s="277"/>
      <c r="U76" s="277"/>
      <c r="V76" s="277"/>
      <c r="W76" s="277"/>
      <c r="X76" s="277"/>
      <c r="Y76" s="277"/>
      <c r="Z76" s="277"/>
    </row>
    <row r="77" spans="1:26" s="292" customFormat="1">
      <c r="A77" s="298"/>
      <c r="B77" s="294"/>
      <c r="C77" s="294"/>
      <c r="D77" s="294"/>
      <c r="E77" s="294"/>
      <c r="F77" s="294"/>
      <c r="G77" s="294"/>
      <c r="H77" s="294"/>
      <c r="I77" s="294"/>
      <c r="J77" s="294"/>
      <c r="K77" s="296"/>
      <c r="L77" s="294"/>
      <c r="M77" s="294"/>
      <c r="N77" s="294"/>
      <c r="O77" s="294"/>
      <c r="P77" s="296"/>
      <c r="Q77" s="294"/>
      <c r="R77" s="300"/>
      <c r="S77" s="297"/>
      <c r="T77" s="277"/>
      <c r="U77" s="277"/>
      <c r="V77" s="277"/>
      <c r="W77" s="277"/>
      <c r="X77" s="277"/>
      <c r="Y77" s="277"/>
      <c r="Z77" s="277"/>
    </row>
    <row r="78" spans="1:26" s="292" customFormat="1">
      <c r="A78" s="287"/>
      <c r="B78" s="288"/>
      <c r="C78" s="288"/>
      <c r="D78" s="288"/>
      <c r="E78" s="288"/>
      <c r="F78" s="288"/>
      <c r="G78" s="288"/>
      <c r="H78" s="288"/>
      <c r="I78" s="288"/>
      <c r="J78" s="288"/>
      <c r="K78" s="290"/>
      <c r="L78" s="288"/>
      <c r="M78" s="288"/>
      <c r="N78" s="288"/>
      <c r="O78" s="288"/>
      <c r="P78" s="290"/>
      <c r="Q78" s="288"/>
      <c r="R78" s="299"/>
      <c r="S78" s="291"/>
      <c r="T78" s="277"/>
      <c r="U78" s="277"/>
      <c r="V78" s="277"/>
      <c r="W78" s="277"/>
      <c r="X78" s="277"/>
      <c r="Y78" s="277"/>
      <c r="Z78" s="277"/>
    </row>
    <row r="79" spans="1:26" s="292" customFormat="1">
      <c r="A79" s="293"/>
      <c r="B79" s="294"/>
      <c r="C79" s="294"/>
      <c r="D79" s="294"/>
      <c r="E79" s="294"/>
      <c r="F79" s="294"/>
      <c r="G79" s="294"/>
      <c r="H79" s="294"/>
      <c r="I79" s="294"/>
      <c r="J79" s="294"/>
      <c r="K79" s="296"/>
      <c r="L79" s="294"/>
      <c r="M79" s="294"/>
      <c r="N79" s="294"/>
      <c r="O79" s="294"/>
      <c r="P79" s="296"/>
      <c r="Q79" s="294"/>
      <c r="R79" s="300"/>
      <c r="S79" s="297"/>
      <c r="T79" s="277"/>
      <c r="U79" s="277"/>
      <c r="V79" s="277"/>
      <c r="W79" s="277"/>
      <c r="X79" s="277"/>
      <c r="Y79" s="277"/>
      <c r="Z79" s="277"/>
    </row>
    <row r="80" spans="1:26" s="292" customFormat="1">
      <c r="A80" s="293"/>
      <c r="B80" s="288"/>
      <c r="C80" s="288"/>
      <c r="D80" s="288"/>
      <c r="E80" s="288"/>
      <c r="F80" s="288"/>
      <c r="G80" s="288"/>
      <c r="H80" s="288"/>
      <c r="I80" s="288"/>
      <c r="J80" s="288"/>
      <c r="K80" s="290"/>
      <c r="L80" s="288"/>
      <c r="M80" s="288"/>
      <c r="N80" s="288"/>
      <c r="O80" s="288"/>
      <c r="P80" s="290"/>
      <c r="Q80" s="288"/>
      <c r="R80" s="299"/>
      <c r="S80" s="291"/>
      <c r="T80" s="277"/>
      <c r="U80" s="277"/>
      <c r="V80" s="277"/>
      <c r="W80" s="277"/>
      <c r="X80" s="277"/>
      <c r="Y80" s="277"/>
      <c r="Z80" s="277"/>
    </row>
    <row r="81" spans="1:26" s="292" customFormat="1">
      <c r="A81" s="293"/>
      <c r="B81" s="294"/>
      <c r="C81" s="294"/>
      <c r="D81" s="294"/>
      <c r="E81" s="294"/>
      <c r="F81" s="294"/>
      <c r="G81" s="294"/>
      <c r="H81" s="294"/>
      <c r="I81" s="294"/>
      <c r="J81" s="294"/>
      <c r="K81" s="296"/>
      <c r="L81" s="294"/>
      <c r="M81" s="294"/>
      <c r="N81" s="294"/>
      <c r="O81" s="294"/>
      <c r="P81" s="296"/>
      <c r="Q81" s="294"/>
      <c r="R81" s="300"/>
      <c r="S81" s="297"/>
      <c r="T81" s="277"/>
      <c r="U81" s="277"/>
      <c r="V81" s="277"/>
      <c r="W81" s="277"/>
      <c r="X81" s="277"/>
      <c r="Y81" s="277"/>
      <c r="Z81" s="277"/>
    </row>
    <row r="82" spans="1:26" s="292" customFormat="1">
      <c r="A82" s="293"/>
      <c r="B82" s="288"/>
      <c r="C82" s="288"/>
      <c r="D82" s="288"/>
      <c r="E82" s="288"/>
      <c r="F82" s="288"/>
      <c r="G82" s="288"/>
      <c r="H82" s="288"/>
      <c r="I82" s="288"/>
      <c r="J82" s="288"/>
      <c r="K82" s="290"/>
      <c r="L82" s="288"/>
      <c r="M82" s="288"/>
      <c r="N82" s="288"/>
      <c r="O82" s="288"/>
      <c r="P82" s="290"/>
      <c r="Q82" s="288"/>
      <c r="R82" s="299"/>
      <c r="S82" s="291"/>
      <c r="T82" s="277"/>
      <c r="U82" s="277"/>
      <c r="V82" s="277"/>
      <c r="W82" s="277"/>
      <c r="X82" s="277"/>
      <c r="Y82" s="277"/>
      <c r="Z82" s="277"/>
    </row>
    <row r="83" spans="1:26" s="292" customFormat="1">
      <c r="A83" s="293"/>
      <c r="B83" s="294"/>
      <c r="C83" s="294"/>
      <c r="D83" s="294"/>
      <c r="E83" s="294"/>
      <c r="F83" s="294"/>
      <c r="G83" s="294"/>
      <c r="H83" s="294"/>
      <c r="I83" s="294"/>
      <c r="J83" s="294"/>
      <c r="K83" s="296"/>
      <c r="L83" s="294"/>
      <c r="M83" s="294"/>
      <c r="N83" s="294"/>
      <c r="O83" s="294"/>
      <c r="P83" s="296"/>
      <c r="Q83" s="294"/>
      <c r="R83" s="300"/>
      <c r="S83" s="297"/>
      <c r="T83" s="277"/>
      <c r="U83" s="277"/>
      <c r="V83" s="277"/>
      <c r="W83" s="277"/>
      <c r="X83" s="277"/>
      <c r="Y83" s="277"/>
      <c r="Z83" s="277"/>
    </row>
    <row r="84" spans="1:26" s="292" customFormat="1">
      <c r="A84" s="293"/>
      <c r="B84" s="288"/>
      <c r="C84" s="288"/>
      <c r="D84" s="288"/>
      <c r="E84" s="288"/>
      <c r="F84" s="288"/>
      <c r="G84" s="288"/>
      <c r="H84" s="288"/>
      <c r="I84" s="288"/>
      <c r="J84" s="288"/>
      <c r="K84" s="290"/>
      <c r="L84" s="288"/>
      <c r="M84" s="288"/>
      <c r="N84" s="288"/>
      <c r="O84" s="288"/>
      <c r="P84" s="290"/>
      <c r="Q84" s="288"/>
      <c r="R84" s="299"/>
      <c r="S84" s="291"/>
      <c r="T84" s="277"/>
      <c r="U84" s="277"/>
      <c r="V84" s="277"/>
      <c r="W84" s="277"/>
      <c r="X84" s="277"/>
      <c r="Y84" s="277"/>
      <c r="Z84" s="277"/>
    </row>
    <row r="85" spans="1:26" s="292" customFormat="1">
      <c r="A85" s="298"/>
      <c r="B85" s="294"/>
      <c r="C85" s="294"/>
      <c r="D85" s="294"/>
      <c r="E85" s="294"/>
      <c r="F85" s="294"/>
      <c r="G85" s="294"/>
      <c r="H85" s="294"/>
      <c r="I85" s="294"/>
      <c r="J85" s="294"/>
      <c r="K85" s="296"/>
      <c r="L85" s="294"/>
      <c r="M85" s="294"/>
      <c r="N85" s="294"/>
      <c r="O85" s="294"/>
      <c r="P85" s="296"/>
      <c r="Q85" s="294"/>
      <c r="R85" s="300"/>
      <c r="S85" s="297"/>
      <c r="T85" s="277"/>
      <c r="U85" s="277"/>
      <c r="V85" s="277"/>
      <c r="W85" s="277"/>
      <c r="X85" s="277"/>
      <c r="Y85" s="277"/>
      <c r="Z85" s="277"/>
    </row>
    <row r="86" spans="1:26" s="292" customFormat="1">
      <c r="A86" s="287"/>
      <c r="B86" s="288"/>
      <c r="C86" s="288"/>
      <c r="D86" s="288"/>
      <c r="E86" s="288"/>
      <c r="F86" s="288"/>
      <c r="G86" s="288"/>
      <c r="H86" s="288"/>
      <c r="I86" s="288"/>
      <c r="J86" s="288"/>
      <c r="K86" s="290"/>
      <c r="L86" s="288"/>
      <c r="M86" s="288"/>
      <c r="N86" s="288"/>
      <c r="O86" s="288"/>
      <c r="P86" s="290"/>
      <c r="Q86" s="288"/>
      <c r="R86" s="299"/>
      <c r="S86" s="291"/>
      <c r="T86" s="277"/>
      <c r="U86" s="277"/>
      <c r="V86" s="277"/>
      <c r="W86" s="277"/>
      <c r="X86" s="277"/>
      <c r="Y86" s="277"/>
      <c r="Z86" s="277"/>
    </row>
    <row r="87" spans="1:26" s="292" customFormat="1">
      <c r="A87" s="293"/>
      <c r="B87" s="294"/>
      <c r="C87" s="294"/>
      <c r="D87" s="294"/>
      <c r="E87" s="294"/>
      <c r="F87" s="294"/>
      <c r="G87" s="294"/>
      <c r="H87" s="294"/>
      <c r="I87" s="294"/>
      <c r="J87" s="294"/>
      <c r="K87" s="296"/>
      <c r="L87" s="294"/>
      <c r="M87" s="294"/>
      <c r="N87" s="294"/>
      <c r="O87" s="294"/>
      <c r="P87" s="296"/>
      <c r="Q87" s="294"/>
      <c r="R87" s="300"/>
      <c r="S87" s="297"/>
      <c r="T87" s="277"/>
      <c r="U87" s="277"/>
      <c r="V87" s="277"/>
      <c r="W87" s="277"/>
      <c r="X87" s="277"/>
      <c r="Y87" s="277"/>
      <c r="Z87" s="277"/>
    </row>
    <row r="88" spans="1:26" s="292" customFormat="1">
      <c r="A88" s="293"/>
      <c r="B88" s="288"/>
      <c r="C88" s="288"/>
      <c r="D88" s="288"/>
      <c r="E88" s="288"/>
      <c r="F88" s="288"/>
      <c r="G88" s="288"/>
      <c r="H88" s="288"/>
      <c r="I88" s="288"/>
      <c r="J88" s="288"/>
      <c r="K88" s="290"/>
      <c r="L88" s="288"/>
      <c r="M88" s="288"/>
      <c r="N88" s="288"/>
      <c r="O88" s="288"/>
      <c r="P88" s="290"/>
      <c r="Q88" s="288"/>
      <c r="R88" s="299"/>
      <c r="S88" s="291"/>
      <c r="T88" s="277"/>
      <c r="U88" s="277"/>
      <c r="V88" s="277"/>
      <c r="W88" s="277"/>
      <c r="X88" s="277"/>
      <c r="Y88" s="277"/>
      <c r="Z88" s="277"/>
    </row>
    <row r="89" spans="1:26" s="292" customFormat="1">
      <c r="A89" s="293"/>
      <c r="B89" s="294"/>
      <c r="C89" s="294"/>
      <c r="D89" s="294"/>
      <c r="E89" s="294"/>
      <c r="F89" s="294"/>
      <c r="G89" s="294"/>
      <c r="H89" s="294"/>
      <c r="I89" s="294"/>
      <c r="J89" s="294"/>
      <c r="K89" s="296"/>
      <c r="L89" s="294"/>
      <c r="M89" s="294"/>
      <c r="N89" s="294"/>
      <c r="O89" s="294"/>
      <c r="P89" s="296"/>
      <c r="Q89" s="294"/>
      <c r="R89" s="300"/>
      <c r="S89" s="297"/>
      <c r="T89" s="277"/>
      <c r="U89" s="277"/>
      <c r="V89" s="277"/>
      <c r="W89" s="277"/>
      <c r="X89" s="277"/>
      <c r="Y89" s="277"/>
      <c r="Z89" s="277"/>
    </row>
    <row r="90" spans="1:26" s="292" customFormat="1">
      <c r="A90" s="293"/>
      <c r="B90" s="288"/>
      <c r="C90" s="288"/>
      <c r="D90" s="288"/>
      <c r="E90" s="288"/>
      <c r="F90" s="288"/>
      <c r="G90" s="288"/>
      <c r="H90" s="288"/>
      <c r="I90" s="288"/>
      <c r="J90" s="288"/>
      <c r="K90" s="290"/>
      <c r="L90" s="288"/>
      <c r="M90" s="288"/>
      <c r="N90" s="288"/>
      <c r="O90" s="288"/>
      <c r="P90" s="290"/>
      <c r="Q90" s="288"/>
      <c r="R90" s="299"/>
      <c r="S90" s="291"/>
      <c r="T90" s="277"/>
      <c r="U90" s="277"/>
      <c r="V90" s="277"/>
      <c r="W90" s="277"/>
      <c r="X90" s="277"/>
      <c r="Y90" s="277"/>
      <c r="Z90" s="277"/>
    </row>
    <row r="91" spans="1:26" s="292" customFormat="1">
      <c r="A91" s="293"/>
      <c r="B91" s="294"/>
      <c r="C91" s="294"/>
      <c r="D91" s="294"/>
      <c r="E91" s="294"/>
      <c r="F91" s="294"/>
      <c r="G91" s="294"/>
      <c r="H91" s="294"/>
      <c r="I91" s="294"/>
      <c r="J91" s="294"/>
      <c r="K91" s="296"/>
      <c r="L91" s="294"/>
      <c r="M91" s="294"/>
      <c r="N91" s="294"/>
      <c r="O91" s="294"/>
      <c r="P91" s="296"/>
      <c r="Q91" s="294"/>
      <c r="R91" s="300"/>
      <c r="S91" s="297"/>
      <c r="T91" s="277"/>
      <c r="U91" s="277"/>
      <c r="V91" s="277"/>
      <c r="W91" s="277"/>
      <c r="X91" s="277"/>
      <c r="Y91" s="277"/>
      <c r="Z91" s="277"/>
    </row>
    <row r="92" spans="1:26" s="292" customFormat="1">
      <c r="A92" s="293"/>
      <c r="B92" s="288"/>
      <c r="C92" s="288"/>
      <c r="D92" s="288"/>
      <c r="E92" s="288"/>
      <c r="F92" s="288"/>
      <c r="G92" s="288"/>
      <c r="H92" s="288"/>
      <c r="I92" s="288"/>
      <c r="J92" s="288"/>
      <c r="K92" s="290"/>
      <c r="L92" s="288"/>
      <c r="M92" s="288"/>
      <c r="N92" s="288"/>
      <c r="O92" s="288"/>
      <c r="P92" s="290"/>
      <c r="Q92" s="288"/>
      <c r="R92" s="299"/>
      <c r="S92" s="291"/>
      <c r="T92" s="277"/>
      <c r="U92" s="277"/>
      <c r="V92" s="277"/>
      <c r="W92" s="277"/>
      <c r="X92" s="277"/>
      <c r="Y92" s="277"/>
      <c r="Z92" s="277"/>
    </row>
    <row r="93" spans="1:26" s="292" customFormat="1">
      <c r="A93" s="298"/>
      <c r="B93" s="294"/>
      <c r="C93" s="294"/>
      <c r="D93" s="294"/>
      <c r="E93" s="294"/>
      <c r="F93" s="294"/>
      <c r="G93" s="294"/>
      <c r="H93" s="294"/>
      <c r="I93" s="294"/>
      <c r="J93" s="294"/>
      <c r="K93" s="296"/>
      <c r="L93" s="294"/>
      <c r="M93" s="294"/>
      <c r="N93" s="294"/>
      <c r="O93" s="294"/>
      <c r="P93" s="296"/>
      <c r="Q93" s="294"/>
      <c r="R93" s="300"/>
      <c r="S93" s="297"/>
      <c r="T93" s="277"/>
      <c r="U93" s="277"/>
      <c r="V93" s="277"/>
      <c r="W93" s="277"/>
      <c r="X93" s="277"/>
      <c r="Y93" s="277"/>
      <c r="Z93" s="277"/>
    </row>
    <row r="94" spans="1:26" s="292" customFormat="1">
      <c r="A94" s="287"/>
      <c r="B94" s="288"/>
      <c r="C94" s="288"/>
      <c r="D94" s="288"/>
      <c r="E94" s="288"/>
      <c r="F94" s="288"/>
      <c r="G94" s="288"/>
      <c r="H94" s="288"/>
      <c r="I94" s="288"/>
      <c r="J94" s="288"/>
      <c r="K94" s="290"/>
      <c r="L94" s="288"/>
      <c r="M94" s="288"/>
      <c r="N94" s="288"/>
      <c r="O94" s="288"/>
      <c r="P94" s="290"/>
      <c r="Q94" s="288"/>
      <c r="R94" s="299"/>
      <c r="S94" s="291"/>
      <c r="T94" s="277"/>
      <c r="U94" s="277"/>
      <c r="V94" s="277"/>
      <c r="W94" s="277"/>
      <c r="X94" s="277"/>
      <c r="Y94" s="277"/>
      <c r="Z94" s="277"/>
    </row>
    <row r="95" spans="1:26" s="292" customFormat="1">
      <c r="A95" s="293"/>
      <c r="B95" s="294"/>
      <c r="C95" s="294"/>
      <c r="D95" s="294"/>
      <c r="E95" s="294"/>
      <c r="F95" s="294"/>
      <c r="G95" s="294"/>
      <c r="H95" s="294"/>
      <c r="I95" s="294"/>
      <c r="J95" s="294"/>
      <c r="K95" s="296"/>
      <c r="L95" s="294"/>
      <c r="M95" s="294"/>
      <c r="N95" s="294"/>
      <c r="O95" s="294"/>
      <c r="P95" s="296"/>
      <c r="Q95" s="294"/>
      <c r="R95" s="300"/>
      <c r="S95" s="297"/>
      <c r="T95" s="277"/>
      <c r="U95" s="277"/>
      <c r="V95" s="277"/>
      <c r="W95" s="277"/>
      <c r="X95" s="277"/>
      <c r="Y95" s="277"/>
      <c r="Z95" s="277"/>
    </row>
    <row r="96" spans="1:26" s="292" customFormat="1">
      <c r="A96" s="293"/>
      <c r="B96" s="288"/>
      <c r="C96" s="288"/>
      <c r="D96" s="288"/>
      <c r="E96" s="288"/>
      <c r="F96" s="288"/>
      <c r="G96" s="288"/>
      <c r="H96" s="288"/>
      <c r="I96" s="288"/>
      <c r="J96" s="288"/>
      <c r="K96" s="290"/>
      <c r="L96" s="288"/>
      <c r="M96" s="288"/>
      <c r="N96" s="288"/>
      <c r="O96" s="288"/>
      <c r="P96" s="290"/>
      <c r="Q96" s="288"/>
      <c r="R96" s="299"/>
      <c r="S96" s="291"/>
      <c r="T96" s="277"/>
      <c r="U96" s="277"/>
      <c r="V96" s="277"/>
      <c r="W96" s="277"/>
      <c r="X96" s="277"/>
      <c r="Y96" s="277"/>
      <c r="Z96" s="277"/>
    </row>
    <row r="97" spans="1:26" s="292" customFormat="1">
      <c r="A97" s="293"/>
      <c r="B97" s="294"/>
      <c r="C97" s="294"/>
      <c r="D97" s="294"/>
      <c r="E97" s="294"/>
      <c r="F97" s="294"/>
      <c r="G97" s="294"/>
      <c r="H97" s="294"/>
      <c r="I97" s="294"/>
      <c r="J97" s="294"/>
      <c r="K97" s="296"/>
      <c r="L97" s="294"/>
      <c r="M97" s="294"/>
      <c r="N97" s="294"/>
      <c r="O97" s="294"/>
      <c r="P97" s="296"/>
      <c r="Q97" s="294"/>
      <c r="R97" s="300"/>
      <c r="S97" s="297"/>
      <c r="T97" s="277"/>
      <c r="U97" s="277"/>
      <c r="V97" s="277"/>
      <c r="W97" s="277"/>
      <c r="X97" s="277"/>
      <c r="Y97" s="277"/>
      <c r="Z97" s="277"/>
    </row>
    <row r="98" spans="1:26" s="292" customFormat="1">
      <c r="A98" s="293"/>
      <c r="B98" s="288"/>
      <c r="C98" s="288"/>
      <c r="D98" s="288"/>
      <c r="E98" s="288"/>
      <c r="F98" s="288"/>
      <c r="G98" s="288"/>
      <c r="H98" s="288"/>
      <c r="I98" s="288"/>
      <c r="J98" s="288"/>
      <c r="K98" s="290"/>
      <c r="L98" s="288"/>
      <c r="M98" s="288"/>
      <c r="N98" s="288"/>
      <c r="O98" s="288"/>
      <c r="P98" s="290"/>
      <c r="Q98" s="288"/>
      <c r="R98" s="299"/>
      <c r="S98" s="291"/>
      <c r="T98" s="277"/>
      <c r="U98" s="277"/>
      <c r="V98" s="277"/>
      <c r="W98" s="277"/>
      <c r="X98" s="277"/>
      <c r="Y98" s="277"/>
      <c r="Z98" s="277"/>
    </row>
    <row r="99" spans="1:26" s="292" customFormat="1">
      <c r="A99" s="293"/>
      <c r="B99" s="294"/>
      <c r="C99" s="294"/>
      <c r="D99" s="294"/>
      <c r="E99" s="294"/>
      <c r="F99" s="294"/>
      <c r="G99" s="294"/>
      <c r="H99" s="294"/>
      <c r="I99" s="294"/>
      <c r="J99" s="294"/>
      <c r="K99" s="296"/>
      <c r="L99" s="294"/>
      <c r="M99" s="294"/>
      <c r="N99" s="294"/>
      <c r="O99" s="294"/>
      <c r="P99" s="296"/>
      <c r="Q99" s="294"/>
      <c r="R99" s="300"/>
      <c r="S99" s="297"/>
      <c r="T99" s="277"/>
      <c r="U99" s="277"/>
      <c r="V99" s="277"/>
      <c r="W99" s="277"/>
      <c r="X99" s="277"/>
      <c r="Y99" s="277"/>
      <c r="Z99" s="277"/>
    </row>
    <row r="100" spans="1:26" s="292" customFormat="1">
      <c r="A100" s="293"/>
      <c r="B100" s="288"/>
      <c r="C100" s="288"/>
      <c r="D100" s="288"/>
      <c r="E100" s="288"/>
      <c r="F100" s="288"/>
      <c r="G100" s="288"/>
      <c r="H100" s="288"/>
      <c r="I100" s="288"/>
      <c r="J100" s="288"/>
      <c r="K100" s="290"/>
      <c r="L100" s="288"/>
      <c r="M100" s="288"/>
      <c r="N100" s="288"/>
      <c r="O100" s="288"/>
      <c r="P100" s="290"/>
      <c r="Q100" s="288"/>
      <c r="R100" s="299"/>
      <c r="S100" s="291"/>
      <c r="T100" s="277"/>
      <c r="U100" s="277"/>
      <c r="V100" s="277"/>
      <c r="W100" s="277"/>
      <c r="X100" s="277"/>
      <c r="Y100" s="277"/>
      <c r="Z100" s="277"/>
    </row>
    <row r="101" spans="1:26" s="292" customFormat="1">
      <c r="A101" s="298"/>
      <c r="B101" s="294"/>
      <c r="C101" s="294"/>
      <c r="D101" s="294"/>
      <c r="E101" s="294"/>
      <c r="F101" s="294"/>
      <c r="G101" s="294"/>
      <c r="H101" s="294"/>
      <c r="I101" s="294"/>
      <c r="J101" s="294"/>
      <c r="K101" s="296"/>
      <c r="L101" s="294"/>
      <c r="M101" s="294"/>
      <c r="N101" s="294"/>
      <c r="O101" s="294"/>
      <c r="P101" s="296"/>
      <c r="Q101" s="294"/>
      <c r="R101" s="300"/>
      <c r="S101" s="297"/>
      <c r="T101" s="277"/>
      <c r="U101" s="277"/>
      <c r="V101" s="277"/>
      <c r="W101" s="277"/>
      <c r="X101" s="277"/>
      <c r="Y101" s="277"/>
      <c r="Z101" s="277"/>
    </row>
    <row r="102" spans="1:26" s="292" customFormat="1">
      <c r="A102" s="287"/>
      <c r="B102" s="288"/>
      <c r="C102" s="288"/>
      <c r="D102" s="288"/>
      <c r="E102" s="288"/>
      <c r="F102" s="288"/>
      <c r="G102" s="288"/>
      <c r="H102" s="288"/>
      <c r="I102" s="288"/>
      <c r="J102" s="288"/>
      <c r="K102" s="290"/>
      <c r="L102" s="288"/>
      <c r="M102" s="288"/>
      <c r="N102" s="288"/>
      <c r="O102" s="288"/>
      <c r="P102" s="290"/>
      <c r="Q102" s="288"/>
      <c r="R102" s="299"/>
      <c r="S102" s="291"/>
      <c r="T102" s="277"/>
      <c r="U102" s="277"/>
      <c r="V102" s="277"/>
      <c r="W102" s="277"/>
      <c r="X102" s="277"/>
      <c r="Y102" s="277"/>
      <c r="Z102" s="277"/>
    </row>
    <row r="103" spans="1:26" s="292" customFormat="1">
      <c r="A103" s="293"/>
      <c r="B103" s="294"/>
      <c r="C103" s="294"/>
      <c r="D103" s="294"/>
      <c r="E103" s="294"/>
      <c r="F103" s="294"/>
      <c r="G103" s="294"/>
      <c r="H103" s="294"/>
      <c r="I103" s="294"/>
      <c r="J103" s="294"/>
      <c r="K103" s="296"/>
      <c r="L103" s="294"/>
      <c r="M103" s="294"/>
      <c r="N103" s="294"/>
      <c r="O103" s="294"/>
      <c r="P103" s="296"/>
      <c r="Q103" s="294"/>
      <c r="R103" s="300"/>
      <c r="S103" s="297"/>
      <c r="T103" s="277"/>
      <c r="U103" s="277"/>
      <c r="V103" s="277"/>
      <c r="W103" s="277"/>
      <c r="X103" s="277"/>
      <c r="Y103" s="277"/>
      <c r="Z103" s="277"/>
    </row>
    <row r="104" spans="1:26" s="292" customFormat="1">
      <c r="A104" s="293"/>
      <c r="B104" s="288"/>
      <c r="C104" s="288"/>
      <c r="D104" s="288"/>
      <c r="E104" s="288"/>
      <c r="F104" s="288"/>
      <c r="G104" s="288"/>
      <c r="H104" s="288"/>
      <c r="I104" s="288"/>
      <c r="J104" s="288"/>
      <c r="K104" s="290"/>
      <c r="L104" s="288"/>
      <c r="M104" s="288"/>
      <c r="N104" s="288"/>
      <c r="O104" s="288"/>
      <c r="P104" s="290"/>
      <c r="Q104" s="288"/>
      <c r="R104" s="299"/>
      <c r="S104" s="291"/>
      <c r="T104" s="277"/>
      <c r="U104" s="277"/>
      <c r="V104" s="277"/>
      <c r="W104" s="277"/>
      <c r="X104" s="277"/>
      <c r="Y104" s="277"/>
      <c r="Z104" s="277"/>
    </row>
    <row r="105" spans="1:26" s="292" customFormat="1">
      <c r="A105" s="293"/>
      <c r="B105" s="294"/>
      <c r="C105" s="294"/>
      <c r="D105" s="294"/>
      <c r="E105" s="294"/>
      <c r="F105" s="294"/>
      <c r="G105" s="294"/>
      <c r="H105" s="294"/>
      <c r="I105" s="294"/>
      <c r="J105" s="294"/>
      <c r="K105" s="296"/>
      <c r="L105" s="294"/>
      <c r="M105" s="294"/>
      <c r="N105" s="294"/>
      <c r="O105" s="294"/>
      <c r="P105" s="296"/>
      <c r="Q105" s="294"/>
      <c r="R105" s="300"/>
      <c r="S105" s="297"/>
      <c r="T105" s="277"/>
      <c r="U105" s="277"/>
      <c r="V105" s="277"/>
      <c r="W105" s="277"/>
      <c r="X105" s="277"/>
      <c r="Y105" s="277"/>
      <c r="Z105" s="277"/>
    </row>
    <row r="106" spans="1:26" s="292" customFormat="1">
      <c r="A106" s="293"/>
      <c r="B106" s="288"/>
      <c r="C106" s="288"/>
      <c r="D106" s="288"/>
      <c r="E106" s="288"/>
      <c r="F106" s="288"/>
      <c r="G106" s="288"/>
      <c r="H106" s="288"/>
      <c r="I106" s="288"/>
      <c r="J106" s="288"/>
      <c r="K106" s="290"/>
      <c r="L106" s="288"/>
      <c r="M106" s="288"/>
      <c r="N106" s="288"/>
      <c r="O106" s="288"/>
      <c r="P106" s="290"/>
      <c r="Q106" s="288"/>
      <c r="R106" s="299"/>
      <c r="S106" s="291"/>
      <c r="T106" s="277"/>
      <c r="U106" s="277"/>
      <c r="V106" s="277"/>
      <c r="W106" s="277"/>
      <c r="X106" s="277"/>
      <c r="Y106" s="277"/>
      <c r="Z106" s="277"/>
    </row>
    <row r="107" spans="1:26" s="292" customFormat="1">
      <c r="A107" s="293"/>
      <c r="B107" s="294"/>
      <c r="C107" s="294"/>
      <c r="D107" s="294"/>
      <c r="E107" s="294"/>
      <c r="F107" s="294"/>
      <c r="G107" s="294"/>
      <c r="H107" s="294"/>
      <c r="I107" s="294"/>
      <c r="J107" s="294"/>
      <c r="K107" s="296"/>
      <c r="L107" s="294"/>
      <c r="M107" s="294"/>
      <c r="N107" s="294"/>
      <c r="O107" s="294"/>
      <c r="P107" s="296"/>
      <c r="Q107" s="294"/>
      <c r="R107" s="300"/>
      <c r="S107" s="297"/>
      <c r="T107" s="277"/>
      <c r="U107" s="277"/>
      <c r="V107" s="277"/>
      <c r="W107" s="277"/>
      <c r="X107" s="277"/>
      <c r="Y107" s="277"/>
      <c r="Z107" s="277"/>
    </row>
    <row r="108" spans="1:26" s="292" customFormat="1">
      <c r="A108" s="293"/>
      <c r="B108" s="288"/>
      <c r="C108" s="288"/>
      <c r="D108" s="288"/>
      <c r="E108" s="288"/>
      <c r="F108" s="288"/>
      <c r="G108" s="288"/>
      <c r="H108" s="288"/>
      <c r="I108" s="288"/>
      <c r="J108" s="288"/>
      <c r="K108" s="290"/>
      <c r="L108" s="288"/>
      <c r="M108" s="288"/>
      <c r="N108" s="288"/>
      <c r="O108" s="288"/>
      <c r="P108" s="290"/>
      <c r="Q108" s="288"/>
      <c r="R108" s="299"/>
      <c r="S108" s="291"/>
      <c r="T108" s="277"/>
      <c r="U108" s="277"/>
      <c r="V108" s="277"/>
      <c r="W108" s="277"/>
      <c r="X108" s="277"/>
      <c r="Y108" s="277"/>
      <c r="Z108" s="277"/>
    </row>
    <row r="109" spans="1:26" s="292" customFormat="1">
      <c r="A109" s="298"/>
      <c r="B109" s="294"/>
      <c r="C109" s="294"/>
      <c r="D109" s="294"/>
      <c r="E109" s="294"/>
      <c r="F109" s="294"/>
      <c r="G109" s="294"/>
      <c r="H109" s="294"/>
      <c r="I109" s="294"/>
      <c r="J109" s="294"/>
      <c r="K109" s="296"/>
      <c r="L109" s="294"/>
      <c r="M109" s="294"/>
      <c r="N109" s="294"/>
      <c r="O109" s="294"/>
      <c r="P109" s="296"/>
      <c r="Q109" s="294"/>
      <c r="R109" s="300"/>
      <c r="S109" s="297"/>
      <c r="T109" s="277"/>
      <c r="U109" s="277"/>
      <c r="V109" s="277"/>
      <c r="W109" s="277"/>
      <c r="X109" s="277"/>
      <c r="Y109" s="277"/>
      <c r="Z109" s="277"/>
    </row>
    <row r="110" spans="1:26" s="292" customFormat="1">
      <c r="A110" s="287"/>
      <c r="B110" s="288"/>
      <c r="C110" s="288"/>
      <c r="D110" s="288"/>
      <c r="E110" s="288"/>
      <c r="F110" s="288"/>
      <c r="G110" s="288"/>
      <c r="H110" s="288"/>
      <c r="I110" s="288"/>
      <c r="J110" s="288"/>
      <c r="K110" s="290"/>
      <c r="L110" s="288"/>
      <c r="M110" s="288"/>
      <c r="N110" s="288"/>
      <c r="O110" s="288"/>
      <c r="P110" s="290"/>
      <c r="Q110" s="288"/>
      <c r="R110" s="299"/>
      <c r="S110" s="291"/>
      <c r="T110" s="277"/>
      <c r="U110" s="277"/>
      <c r="V110" s="277"/>
      <c r="W110" s="277"/>
      <c r="X110" s="277"/>
      <c r="Y110" s="277"/>
      <c r="Z110" s="277"/>
    </row>
    <row r="111" spans="1:26" s="292" customFormat="1">
      <c r="A111" s="293"/>
      <c r="B111" s="294"/>
      <c r="C111" s="294"/>
      <c r="D111" s="294"/>
      <c r="E111" s="294"/>
      <c r="F111" s="294"/>
      <c r="G111" s="294"/>
      <c r="H111" s="294"/>
      <c r="I111" s="294"/>
      <c r="J111" s="294"/>
      <c r="K111" s="296"/>
      <c r="L111" s="294"/>
      <c r="M111" s="294"/>
      <c r="N111" s="294"/>
      <c r="O111" s="294"/>
      <c r="P111" s="296"/>
      <c r="Q111" s="294"/>
      <c r="R111" s="300"/>
      <c r="S111" s="297"/>
      <c r="T111" s="277"/>
      <c r="U111" s="277"/>
      <c r="V111" s="277"/>
      <c r="W111" s="277"/>
      <c r="X111" s="277"/>
      <c r="Y111" s="277"/>
      <c r="Z111" s="277"/>
    </row>
    <row r="112" spans="1:26" s="292" customFormat="1">
      <c r="A112" s="293"/>
      <c r="B112" s="288"/>
      <c r="C112" s="288"/>
      <c r="D112" s="288"/>
      <c r="E112" s="288"/>
      <c r="F112" s="288"/>
      <c r="G112" s="288"/>
      <c r="H112" s="288"/>
      <c r="I112" s="288"/>
      <c r="J112" s="288"/>
      <c r="K112" s="290"/>
      <c r="L112" s="288"/>
      <c r="M112" s="288"/>
      <c r="N112" s="288"/>
      <c r="O112" s="288"/>
      <c r="P112" s="290"/>
      <c r="Q112" s="288"/>
      <c r="R112" s="299"/>
      <c r="S112" s="291"/>
      <c r="T112" s="277"/>
      <c r="U112" s="277"/>
      <c r="V112" s="277"/>
      <c r="W112" s="277"/>
      <c r="X112" s="277"/>
      <c r="Y112" s="277"/>
      <c r="Z112" s="277"/>
    </row>
    <row r="113" spans="1:26" s="292" customFormat="1">
      <c r="A113" s="293"/>
      <c r="B113" s="294"/>
      <c r="C113" s="294"/>
      <c r="D113" s="294"/>
      <c r="E113" s="294"/>
      <c r="F113" s="294"/>
      <c r="G113" s="294"/>
      <c r="H113" s="294"/>
      <c r="I113" s="294"/>
      <c r="J113" s="294"/>
      <c r="K113" s="296"/>
      <c r="L113" s="294"/>
      <c r="M113" s="294"/>
      <c r="N113" s="294"/>
      <c r="O113" s="294"/>
      <c r="P113" s="296"/>
      <c r="Q113" s="294"/>
      <c r="R113" s="300"/>
      <c r="S113" s="297"/>
      <c r="T113" s="277"/>
      <c r="U113" s="277"/>
      <c r="V113" s="277"/>
      <c r="W113" s="277"/>
      <c r="X113" s="277"/>
      <c r="Y113" s="277"/>
      <c r="Z113" s="277"/>
    </row>
    <row r="114" spans="1:26" s="292" customFormat="1">
      <c r="A114" s="293"/>
      <c r="B114" s="288"/>
      <c r="C114" s="288"/>
      <c r="D114" s="288"/>
      <c r="E114" s="288"/>
      <c r="F114" s="288"/>
      <c r="G114" s="288"/>
      <c r="H114" s="288"/>
      <c r="I114" s="288"/>
      <c r="J114" s="288"/>
      <c r="K114" s="290"/>
      <c r="L114" s="288"/>
      <c r="M114" s="288"/>
      <c r="N114" s="288"/>
      <c r="O114" s="288"/>
      <c r="P114" s="290"/>
      <c r="Q114" s="288"/>
      <c r="R114" s="299"/>
      <c r="S114" s="291"/>
      <c r="T114" s="277"/>
      <c r="U114" s="277"/>
      <c r="V114" s="277"/>
      <c r="W114" s="277"/>
      <c r="X114" s="277"/>
      <c r="Y114" s="277"/>
      <c r="Z114" s="277"/>
    </row>
    <row r="115" spans="1:26" s="292" customFormat="1">
      <c r="A115" s="293"/>
      <c r="B115" s="294"/>
      <c r="C115" s="294"/>
      <c r="D115" s="294"/>
      <c r="E115" s="294"/>
      <c r="F115" s="294"/>
      <c r="G115" s="294"/>
      <c r="H115" s="294"/>
      <c r="I115" s="294"/>
      <c r="J115" s="294"/>
      <c r="K115" s="296"/>
      <c r="L115" s="294"/>
      <c r="M115" s="294"/>
      <c r="N115" s="294"/>
      <c r="O115" s="294"/>
      <c r="P115" s="296"/>
      <c r="Q115" s="294"/>
      <c r="R115" s="300"/>
      <c r="S115" s="297"/>
      <c r="T115" s="277"/>
      <c r="U115" s="277"/>
      <c r="V115" s="277"/>
      <c r="W115" s="277"/>
      <c r="X115" s="277"/>
      <c r="Y115" s="277"/>
      <c r="Z115" s="277"/>
    </row>
    <row r="116" spans="1:26" s="292" customFormat="1">
      <c r="A116" s="293"/>
      <c r="B116" s="288"/>
      <c r="C116" s="288"/>
      <c r="D116" s="288"/>
      <c r="E116" s="288"/>
      <c r="F116" s="288"/>
      <c r="G116" s="288"/>
      <c r="H116" s="288"/>
      <c r="I116" s="288"/>
      <c r="J116" s="288"/>
      <c r="K116" s="290"/>
      <c r="L116" s="288"/>
      <c r="M116" s="288"/>
      <c r="N116" s="288"/>
      <c r="O116" s="288"/>
      <c r="P116" s="290"/>
      <c r="Q116" s="288"/>
      <c r="R116" s="299"/>
      <c r="S116" s="291"/>
      <c r="T116" s="277"/>
      <c r="U116" s="277"/>
      <c r="V116" s="277"/>
      <c r="W116" s="277"/>
      <c r="X116" s="277"/>
      <c r="Y116" s="277"/>
      <c r="Z116" s="277"/>
    </row>
    <row r="117" spans="1:26" s="292" customFormat="1">
      <c r="A117" s="298"/>
      <c r="B117" s="294"/>
      <c r="C117" s="294"/>
      <c r="D117" s="294"/>
      <c r="E117" s="294"/>
      <c r="F117" s="294"/>
      <c r="G117" s="294"/>
      <c r="H117" s="294"/>
      <c r="I117" s="294"/>
      <c r="J117" s="294"/>
      <c r="K117" s="296"/>
      <c r="L117" s="294"/>
      <c r="M117" s="294"/>
      <c r="N117" s="294"/>
      <c r="O117" s="294"/>
      <c r="P117" s="296"/>
      <c r="Q117" s="294"/>
      <c r="R117" s="300"/>
      <c r="S117" s="297"/>
      <c r="T117" s="277"/>
      <c r="U117" s="277"/>
      <c r="V117" s="277"/>
      <c r="W117" s="277"/>
      <c r="X117" s="277"/>
      <c r="Y117" s="277"/>
      <c r="Z117" s="277"/>
    </row>
    <row r="118" spans="1:26" s="292" customFormat="1">
      <c r="A118" s="287"/>
      <c r="B118" s="288"/>
      <c r="C118" s="288"/>
      <c r="D118" s="288"/>
      <c r="E118" s="288"/>
      <c r="F118" s="288"/>
      <c r="G118" s="288"/>
      <c r="H118" s="288"/>
      <c r="I118" s="288"/>
      <c r="J118" s="288"/>
      <c r="K118" s="290"/>
      <c r="L118" s="288"/>
      <c r="M118" s="288"/>
      <c r="N118" s="288"/>
      <c r="O118" s="288"/>
      <c r="P118" s="290"/>
      <c r="Q118" s="288"/>
      <c r="R118" s="299"/>
      <c r="S118" s="291"/>
      <c r="T118" s="277"/>
      <c r="U118" s="277"/>
      <c r="V118" s="277"/>
      <c r="W118" s="277"/>
      <c r="X118" s="277"/>
      <c r="Y118" s="277"/>
      <c r="Z118" s="277"/>
    </row>
    <row r="119" spans="1:26" s="292" customFormat="1">
      <c r="A119" s="293"/>
      <c r="B119" s="294"/>
      <c r="C119" s="294"/>
      <c r="D119" s="294"/>
      <c r="E119" s="294"/>
      <c r="F119" s="294"/>
      <c r="G119" s="294"/>
      <c r="H119" s="294"/>
      <c r="I119" s="294"/>
      <c r="J119" s="294"/>
      <c r="K119" s="296"/>
      <c r="L119" s="294"/>
      <c r="M119" s="294"/>
      <c r="N119" s="294"/>
      <c r="O119" s="294"/>
      <c r="P119" s="296"/>
      <c r="Q119" s="294"/>
      <c r="R119" s="300"/>
      <c r="S119" s="297"/>
      <c r="T119" s="277"/>
      <c r="U119" s="277"/>
      <c r="V119" s="277"/>
      <c r="W119" s="277"/>
      <c r="X119" s="277"/>
      <c r="Y119" s="277"/>
      <c r="Z119" s="277"/>
    </row>
    <row r="120" spans="1:26" s="292" customFormat="1">
      <c r="A120" s="293"/>
      <c r="B120" s="288"/>
      <c r="C120" s="288"/>
      <c r="D120" s="288"/>
      <c r="E120" s="288"/>
      <c r="F120" s="288"/>
      <c r="G120" s="288"/>
      <c r="H120" s="288"/>
      <c r="I120" s="288"/>
      <c r="J120" s="288"/>
      <c r="K120" s="290"/>
      <c r="L120" s="288"/>
      <c r="M120" s="288"/>
      <c r="N120" s="288"/>
      <c r="O120" s="288"/>
      <c r="P120" s="290"/>
      <c r="Q120" s="288"/>
      <c r="R120" s="299"/>
      <c r="S120" s="291"/>
      <c r="T120" s="277"/>
      <c r="U120" s="277"/>
      <c r="V120" s="277"/>
      <c r="W120" s="277"/>
      <c r="X120" s="277"/>
      <c r="Y120" s="277"/>
      <c r="Z120" s="277"/>
    </row>
    <row r="121" spans="1:26" s="292" customFormat="1">
      <c r="A121" s="293"/>
      <c r="B121" s="294"/>
      <c r="C121" s="294"/>
      <c r="D121" s="294"/>
      <c r="E121" s="294"/>
      <c r="F121" s="294"/>
      <c r="G121" s="294"/>
      <c r="H121" s="294"/>
      <c r="I121" s="294"/>
      <c r="J121" s="294"/>
      <c r="K121" s="296"/>
      <c r="L121" s="294"/>
      <c r="M121" s="294"/>
      <c r="N121" s="294"/>
      <c r="O121" s="294"/>
      <c r="P121" s="296"/>
      <c r="Q121" s="294"/>
      <c r="R121" s="300"/>
      <c r="S121" s="297"/>
      <c r="T121" s="277"/>
      <c r="U121" s="277"/>
      <c r="V121" s="277"/>
      <c r="W121" s="277"/>
      <c r="X121" s="277"/>
      <c r="Y121" s="277"/>
      <c r="Z121" s="277"/>
    </row>
    <row r="122" spans="1:26" s="292" customFormat="1">
      <c r="A122" s="293"/>
      <c r="B122" s="288"/>
      <c r="C122" s="288"/>
      <c r="D122" s="288"/>
      <c r="E122" s="288"/>
      <c r="F122" s="288"/>
      <c r="G122" s="288"/>
      <c r="H122" s="288"/>
      <c r="I122" s="288"/>
      <c r="J122" s="288"/>
      <c r="K122" s="290"/>
      <c r="L122" s="288"/>
      <c r="M122" s="288"/>
      <c r="N122" s="288"/>
      <c r="O122" s="288"/>
      <c r="P122" s="290"/>
      <c r="Q122" s="288"/>
      <c r="R122" s="299"/>
      <c r="S122" s="291"/>
      <c r="T122" s="277"/>
      <c r="U122" s="277"/>
      <c r="V122" s="277"/>
      <c r="W122" s="277"/>
      <c r="X122" s="277"/>
      <c r="Y122" s="277"/>
      <c r="Z122" s="277"/>
    </row>
    <row r="123" spans="1:26" s="292" customFormat="1">
      <c r="A123" s="293"/>
      <c r="B123" s="294"/>
      <c r="C123" s="294"/>
      <c r="D123" s="294"/>
      <c r="E123" s="294"/>
      <c r="F123" s="294"/>
      <c r="G123" s="294"/>
      <c r="H123" s="294"/>
      <c r="I123" s="294"/>
      <c r="J123" s="294"/>
      <c r="K123" s="296"/>
      <c r="L123" s="294"/>
      <c r="M123" s="294"/>
      <c r="N123" s="294"/>
      <c r="O123" s="294"/>
      <c r="P123" s="296"/>
      <c r="Q123" s="294"/>
      <c r="R123" s="300"/>
      <c r="S123" s="297"/>
      <c r="T123" s="277"/>
      <c r="U123" s="277"/>
      <c r="V123" s="277"/>
      <c r="W123" s="277"/>
      <c r="X123" s="277"/>
      <c r="Y123" s="277"/>
      <c r="Z123" s="277"/>
    </row>
    <row r="124" spans="1:26" s="292" customFormat="1">
      <c r="A124" s="293"/>
      <c r="B124" s="288"/>
      <c r="C124" s="288"/>
      <c r="D124" s="288"/>
      <c r="E124" s="288"/>
      <c r="F124" s="288"/>
      <c r="G124" s="288"/>
      <c r="H124" s="288"/>
      <c r="I124" s="288"/>
      <c r="J124" s="288"/>
      <c r="K124" s="290"/>
      <c r="L124" s="288"/>
      <c r="M124" s="288"/>
      <c r="N124" s="288"/>
      <c r="O124" s="288"/>
      <c r="P124" s="290"/>
      <c r="Q124" s="288"/>
      <c r="R124" s="299"/>
      <c r="S124" s="291"/>
      <c r="T124" s="277"/>
      <c r="U124" s="277"/>
      <c r="V124" s="277"/>
      <c r="W124" s="277"/>
      <c r="X124" s="277"/>
      <c r="Y124" s="277"/>
      <c r="Z124" s="277"/>
    </row>
    <row r="125" spans="1:26" s="292" customFormat="1">
      <c r="A125" s="298"/>
      <c r="B125" s="294"/>
      <c r="C125" s="294"/>
      <c r="D125" s="294"/>
      <c r="E125" s="294"/>
      <c r="F125" s="294"/>
      <c r="G125" s="294"/>
      <c r="H125" s="294"/>
      <c r="I125" s="294"/>
      <c r="J125" s="294"/>
      <c r="K125" s="296"/>
      <c r="L125" s="294"/>
      <c r="M125" s="294"/>
      <c r="N125" s="294"/>
      <c r="O125" s="294"/>
      <c r="P125" s="296"/>
      <c r="Q125" s="294"/>
      <c r="R125" s="300"/>
      <c r="S125" s="297"/>
      <c r="T125" s="277"/>
      <c r="U125" s="277"/>
      <c r="V125" s="277"/>
      <c r="W125" s="277"/>
      <c r="X125" s="277"/>
      <c r="Y125" s="277"/>
      <c r="Z125" s="277"/>
    </row>
    <row r="126" spans="1:26" s="292" customFormat="1">
      <c r="A126" s="287"/>
      <c r="B126" s="288"/>
      <c r="C126" s="288"/>
      <c r="D126" s="288"/>
      <c r="E126" s="288"/>
      <c r="F126" s="288"/>
      <c r="G126" s="288"/>
      <c r="H126" s="288"/>
      <c r="I126" s="288"/>
      <c r="J126" s="288"/>
      <c r="K126" s="290"/>
      <c r="L126" s="288"/>
      <c r="M126" s="288"/>
      <c r="N126" s="288"/>
      <c r="O126" s="288"/>
      <c r="P126" s="290"/>
      <c r="Q126" s="288"/>
      <c r="R126" s="299"/>
      <c r="S126" s="291"/>
      <c r="T126" s="277"/>
      <c r="U126" s="277"/>
      <c r="V126" s="277"/>
      <c r="W126" s="277"/>
      <c r="X126" s="277"/>
      <c r="Y126" s="277"/>
      <c r="Z126" s="277"/>
    </row>
    <row r="127" spans="1:26" s="292" customFormat="1">
      <c r="A127" s="293"/>
      <c r="B127" s="294"/>
      <c r="C127" s="294"/>
      <c r="D127" s="294"/>
      <c r="E127" s="294"/>
      <c r="F127" s="294"/>
      <c r="G127" s="294"/>
      <c r="H127" s="294"/>
      <c r="I127" s="294"/>
      <c r="J127" s="294"/>
      <c r="K127" s="296"/>
      <c r="L127" s="294"/>
      <c r="M127" s="294"/>
      <c r="N127" s="294"/>
      <c r="O127" s="294"/>
      <c r="P127" s="296"/>
      <c r="Q127" s="294"/>
      <c r="R127" s="300"/>
      <c r="S127" s="297"/>
      <c r="T127" s="277"/>
      <c r="U127" s="277"/>
      <c r="V127" s="277"/>
      <c r="W127" s="277"/>
      <c r="X127" s="277"/>
      <c r="Y127" s="277"/>
      <c r="Z127" s="277"/>
    </row>
    <row r="128" spans="1:26" s="292" customFormat="1">
      <c r="A128" s="293"/>
      <c r="B128" s="288"/>
      <c r="C128" s="288"/>
      <c r="D128" s="288"/>
      <c r="E128" s="288"/>
      <c r="F128" s="288"/>
      <c r="G128" s="288"/>
      <c r="H128" s="288"/>
      <c r="I128" s="288"/>
      <c r="J128" s="288"/>
      <c r="K128" s="290"/>
      <c r="L128" s="288"/>
      <c r="M128" s="288"/>
      <c r="N128" s="288"/>
      <c r="O128" s="288"/>
      <c r="P128" s="290"/>
      <c r="Q128" s="288"/>
      <c r="R128" s="299"/>
      <c r="S128" s="291"/>
      <c r="T128" s="277"/>
      <c r="U128" s="277"/>
      <c r="V128" s="277"/>
      <c r="W128" s="277"/>
      <c r="X128" s="277"/>
      <c r="Y128" s="277"/>
      <c r="Z128" s="277"/>
    </row>
    <row r="129" spans="1:26" s="292" customFormat="1">
      <c r="A129" s="293"/>
      <c r="B129" s="294"/>
      <c r="C129" s="294"/>
      <c r="D129" s="294"/>
      <c r="E129" s="294"/>
      <c r="F129" s="294"/>
      <c r="G129" s="294"/>
      <c r="H129" s="294"/>
      <c r="I129" s="294"/>
      <c r="J129" s="294"/>
      <c r="K129" s="296"/>
      <c r="L129" s="294"/>
      <c r="M129" s="294"/>
      <c r="N129" s="294"/>
      <c r="O129" s="294"/>
      <c r="P129" s="296"/>
      <c r="Q129" s="294"/>
      <c r="R129" s="300"/>
      <c r="S129" s="297"/>
      <c r="T129" s="277"/>
      <c r="U129" s="277"/>
      <c r="V129" s="277"/>
      <c r="W129" s="277"/>
      <c r="X129" s="277"/>
      <c r="Y129" s="277"/>
      <c r="Z129" s="277"/>
    </row>
    <row r="130" spans="1:26" s="292" customFormat="1">
      <c r="A130" s="293"/>
      <c r="B130" s="288"/>
      <c r="C130" s="288"/>
      <c r="D130" s="288"/>
      <c r="E130" s="288"/>
      <c r="F130" s="288"/>
      <c r="G130" s="288"/>
      <c r="H130" s="288"/>
      <c r="I130" s="288"/>
      <c r="J130" s="288"/>
      <c r="K130" s="290"/>
      <c r="L130" s="288"/>
      <c r="M130" s="288"/>
      <c r="N130" s="288"/>
      <c r="O130" s="288"/>
      <c r="P130" s="290"/>
      <c r="Q130" s="288"/>
      <c r="R130" s="299"/>
      <c r="S130" s="291"/>
      <c r="T130" s="277"/>
      <c r="U130" s="277"/>
      <c r="V130" s="277"/>
      <c r="W130" s="277"/>
      <c r="X130" s="277"/>
      <c r="Y130" s="277"/>
      <c r="Z130" s="277"/>
    </row>
    <row r="131" spans="1:26" s="292" customFormat="1">
      <c r="A131" s="293"/>
      <c r="B131" s="294"/>
      <c r="C131" s="294"/>
      <c r="D131" s="294"/>
      <c r="E131" s="294"/>
      <c r="F131" s="294"/>
      <c r="G131" s="294"/>
      <c r="H131" s="294"/>
      <c r="I131" s="294"/>
      <c r="J131" s="294"/>
      <c r="K131" s="296"/>
      <c r="L131" s="294"/>
      <c r="M131" s="294"/>
      <c r="N131" s="294"/>
      <c r="O131" s="294"/>
      <c r="P131" s="296"/>
      <c r="Q131" s="294"/>
      <c r="R131" s="300"/>
      <c r="S131" s="297"/>
      <c r="T131" s="277"/>
      <c r="U131" s="277"/>
      <c r="V131" s="277"/>
      <c r="W131" s="277"/>
      <c r="X131" s="277"/>
      <c r="Y131" s="277"/>
      <c r="Z131" s="277"/>
    </row>
    <row r="132" spans="1:26" s="292" customFormat="1">
      <c r="A132" s="293"/>
      <c r="B132" s="288"/>
      <c r="C132" s="288"/>
      <c r="D132" s="288"/>
      <c r="E132" s="288"/>
      <c r="F132" s="288"/>
      <c r="G132" s="288"/>
      <c r="H132" s="288"/>
      <c r="I132" s="288"/>
      <c r="J132" s="288"/>
      <c r="K132" s="290"/>
      <c r="L132" s="288"/>
      <c r="M132" s="288"/>
      <c r="N132" s="288"/>
      <c r="O132" s="288"/>
      <c r="P132" s="290"/>
      <c r="Q132" s="288"/>
      <c r="R132" s="299"/>
      <c r="S132" s="291"/>
      <c r="T132" s="277"/>
      <c r="U132" s="277"/>
      <c r="V132" s="277"/>
      <c r="W132" s="277"/>
      <c r="X132" s="277"/>
      <c r="Y132" s="277"/>
      <c r="Z132" s="277"/>
    </row>
    <row r="133" spans="1:26" s="292" customFormat="1">
      <c r="A133" s="298"/>
      <c r="B133" s="294"/>
      <c r="C133" s="294"/>
      <c r="D133" s="294"/>
      <c r="E133" s="294"/>
      <c r="F133" s="294"/>
      <c r="G133" s="294"/>
      <c r="H133" s="294"/>
      <c r="I133" s="294"/>
      <c r="J133" s="294"/>
      <c r="K133" s="296"/>
      <c r="L133" s="294"/>
      <c r="M133" s="294"/>
      <c r="N133" s="294"/>
      <c r="O133" s="294"/>
      <c r="P133" s="296"/>
      <c r="Q133" s="294"/>
      <c r="R133" s="300"/>
      <c r="S133" s="297"/>
      <c r="T133" s="277"/>
      <c r="U133" s="277"/>
      <c r="V133" s="277"/>
      <c r="W133" s="277"/>
      <c r="X133" s="277"/>
      <c r="Y133" s="277"/>
      <c r="Z133" s="277"/>
    </row>
    <row r="134" spans="1:26" s="292" customFormat="1">
      <c r="B134" s="303"/>
      <c r="P134" s="304"/>
      <c r="S134" s="305"/>
      <c r="T134" s="305"/>
      <c r="U134" s="305"/>
      <c r="V134" s="305"/>
    </row>
    <row r="135" spans="1:26" s="292" customFormat="1">
      <c r="S135" s="305"/>
      <c r="T135" s="305"/>
      <c r="U135" s="305"/>
      <c r="V135" s="305"/>
    </row>
    <row r="136" spans="1:26" s="292" customFormat="1">
      <c r="S136" s="305"/>
      <c r="T136" s="305"/>
      <c r="U136" s="305"/>
      <c r="V136" s="305"/>
    </row>
    <row r="137" spans="1:26" s="292" customFormat="1">
      <c r="B137" s="303"/>
      <c r="P137" s="304"/>
      <c r="S137" s="305"/>
      <c r="T137" s="305"/>
      <c r="U137" s="305"/>
      <c r="V137" s="305"/>
    </row>
    <row r="138" spans="1:26" s="292" customFormat="1">
      <c r="S138" s="305"/>
      <c r="T138" s="305"/>
      <c r="U138" s="305"/>
      <c r="V138" s="305"/>
    </row>
    <row r="139" spans="1:26" s="292" customFormat="1">
      <c r="S139" s="305"/>
      <c r="T139" s="305"/>
      <c r="U139" s="305"/>
      <c r="V139" s="305"/>
    </row>
    <row r="140" spans="1:26" s="292" customFormat="1">
      <c r="B140" s="303"/>
      <c r="P140" s="304"/>
      <c r="S140" s="305"/>
      <c r="T140" s="305"/>
      <c r="U140" s="305"/>
      <c r="V140" s="305"/>
    </row>
    <row r="141" spans="1:26" s="292" customFormat="1">
      <c r="S141" s="305"/>
      <c r="T141" s="305"/>
      <c r="U141" s="305"/>
      <c r="V141" s="305"/>
    </row>
    <row r="142" spans="1:26" s="292" customFormat="1">
      <c r="S142" s="305"/>
      <c r="T142" s="305"/>
      <c r="U142" s="305"/>
      <c r="V142" s="305"/>
    </row>
    <row r="143" spans="1:26" s="292" customFormat="1">
      <c r="B143" s="303"/>
      <c r="P143" s="304"/>
      <c r="S143" s="305"/>
      <c r="T143" s="305"/>
      <c r="U143" s="305"/>
      <c r="V143" s="305"/>
    </row>
    <row r="144" spans="1:26" s="292" customFormat="1">
      <c r="S144" s="305"/>
      <c r="T144" s="305"/>
      <c r="U144" s="305"/>
      <c r="V144" s="305"/>
    </row>
    <row r="145" spans="2:22" s="292" customFormat="1">
      <c r="S145" s="305"/>
      <c r="T145" s="305"/>
      <c r="U145" s="305"/>
      <c r="V145" s="305"/>
    </row>
    <row r="146" spans="2:22" s="292" customFormat="1">
      <c r="B146" s="303"/>
      <c r="P146" s="304"/>
      <c r="S146" s="305"/>
      <c r="T146" s="305"/>
      <c r="U146" s="305"/>
      <c r="V146" s="305"/>
    </row>
    <row r="147" spans="2:22" s="292" customFormat="1">
      <c r="S147" s="305"/>
      <c r="T147" s="305"/>
      <c r="U147" s="305"/>
      <c r="V147" s="305"/>
    </row>
    <row r="148" spans="2:22" s="292" customFormat="1">
      <c r="S148" s="305"/>
      <c r="T148" s="305"/>
      <c r="U148" s="305"/>
      <c r="V148" s="305"/>
    </row>
    <row r="149" spans="2:22" s="292" customFormat="1">
      <c r="B149" s="303"/>
      <c r="P149" s="304"/>
      <c r="S149" s="305"/>
      <c r="T149" s="305"/>
      <c r="U149" s="305"/>
      <c r="V149" s="305"/>
    </row>
    <row r="150" spans="2:22" s="292" customFormat="1">
      <c r="S150" s="305"/>
      <c r="T150" s="305"/>
      <c r="U150" s="305"/>
      <c r="V150" s="305"/>
    </row>
    <row r="151" spans="2:22" s="292" customFormat="1">
      <c r="S151" s="305"/>
      <c r="T151" s="305"/>
      <c r="U151" s="305"/>
      <c r="V151" s="305"/>
    </row>
    <row r="152" spans="2:22" s="292" customFormat="1">
      <c r="B152" s="303"/>
      <c r="P152" s="304"/>
      <c r="S152" s="305"/>
      <c r="T152" s="305"/>
      <c r="U152" s="305"/>
      <c r="V152" s="305"/>
    </row>
    <row r="153" spans="2:22" s="292" customFormat="1">
      <c r="S153" s="305"/>
      <c r="T153" s="305"/>
      <c r="U153" s="305"/>
      <c r="V153" s="305"/>
    </row>
    <row r="154" spans="2:22" s="292" customFormat="1">
      <c r="S154" s="305"/>
      <c r="T154" s="305"/>
      <c r="U154" s="305"/>
      <c r="V154" s="305"/>
    </row>
    <row r="155" spans="2:22" s="292" customFormat="1">
      <c r="B155" s="303"/>
      <c r="P155" s="304"/>
      <c r="S155" s="305"/>
      <c r="T155" s="305"/>
      <c r="U155" s="305"/>
      <c r="V155" s="305"/>
    </row>
    <row r="156" spans="2:22" s="292" customFormat="1">
      <c r="S156" s="305"/>
      <c r="T156" s="305"/>
      <c r="U156" s="305"/>
      <c r="V156" s="305"/>
    </row>
    <row r="157" spans="2:22" s="292" customFormat="1">
      <c r="S157" s="305"/>
      <c r="T157" s="305"/>
      <c r="U157" s="305"/>
      <c r="V157" s="305"/>
    </row>
    <row r="158" spans="2:22" s="292" customFormat="1">
      <c r="B158" s="303"/>
      <c r="P158" s="304"/>
      <c r="S158" s="305"/>
      <c r="T158" s="305"/>
      <c r="U158" s="305"/>
      <c r="V158" s="305"/>
    </row>
    <row r="159" spans="2:22" s="292" customFormat="1">
      <c r="S159" s="305"/>
      <c r="T159" s="305"/>
      <c r="U159" s="305"/>
      <c r="V159" s="305"/>
    </row>
    <row r="160" spans="2:22" s="292" customFormat="1">
      <c r="S160" s="305"/>
      <c r="T160" s="305"/>
      <c r="U160" s="305"/>
      <c r="V160" s="305"/>
    </row>
    <row r="161" spans="2:22" s="292" customFormat="1">
      <c r="B161" s="303"/>
      <c r="P161" s="304"/>
      <c r="S161" s="305"/>
      <c r="T161" s="305"/>
      <c r="U161" s="305"/>
      <c r="V161" s="305"/>
    </row>
    <row r="162" spans="2:22" s="292" customFormat="1">
      <c r="S162" s="305"/>
      <c r="T162" s="305"/>
      <c r="U162" s="305"/>
      <c r="V162" s="305"/>
    </row>
    <row r="163" spans="2:22" s="292" customFormat="1">
      <c r="S163" s="305"/>
      <c r="T163" s="305"/>
      <c r="U163" s="305"/>
      <c r="V163" s="305"/>
    </row>
    <row r="164" spans="2:22" s="292" customFormat="1">
      <c r="B164" s="303"/>
      <c r="P164" s="304"/>
      <c r="S164" s="305"/>
      <c r="T164" s="305"/>
      <c r="U164" s="305"/>
      <c r="V164" s="305"/>
    </row>
    <row r="165" spans="2:22" s="292" customFormat="1">
      <c r="S165" s="305"/>
      <c r="T165" s="305"/>
      <c r="U165" s="305"/>
      <c r="V165" s="305"/>
    </row>
    <row r="166" spans="2:22" s="292" customFormat="1">
      <c r="S166" s="305"/>
      <c r="T166" s="305"/>
      <c r="U166" s="305"/>
      <c r="V166" s="305"/>
    </row>
    <row r="167" spans="2:22" s="292" customFormat="1">
      <c r="B167" s="303"/>
      <c r="P167" s="304"/>
      <c r="S167" s="305"/>
      <c r="T167" s="305"/>
      <c r="U167" s="305"/>
      <c r="V167" s="305"/>
    </row>
    <row r="168" spans="2:22" s="292" customFormat="1">
      <c r="S168" s="305"/>
      <c r="T168" s="305"/>
      <c r="U168" s="305"/>
      <c r="V168" s="305"/>
    </row>
    <row r="169" spans="2:22" s="292" customFormat="1">
      <c r="S169" s="305"/>
      <c r="T169" s="305"/>
      <c r="U169" s="305"/>
      <c r="V169" s="305"/>
    </row>
    <row r="170" spans="2:22" s="292" customFormat="1">
      <c r="B170" s="303"/>
      <c r="P170" s="304"/>
      <c r="S170" s="305"/>
      <c r="T170" s="305"/>
      <c r="U170" s="305"/>
      <c r="V170" s="305"/>
    </row>
    <row r="171" spans="2:22" s="292" customFormat="1">
      <c r="S171" s="305"/>
      <c r="T171" s="305"/>
      <c r="U171" s="305"/>
      <c r="V171" s="305"/>
    </row>
    <row r="172" spans="2:22" s="292" customFormat="1">
      <c r="S172" s="305"/>
      <c r="T172" s="305"/>
      <c r="U172" s="305"/>
      <c r="V172" s="305"/>
    </row>
    <row r="173" spans="2:22" s="292" customFormat="1">
      <c r="B173" s="303"/>
      <c r="P173" s="304"/>
      <c r="S173" s="305"/>
      <c r="T173" s="305"/>
      <c r="U173" s="305"/>
      <c r="V173" s="305"/>
    </row>
    <row r="174" spans="2:22" s="292" customFormat="1">
      <c r="S174" s="305"/>
      <c r="T174" s="305"/>
      <c r="U174" s="305"/>
      <c r="V174" s="305"/>
    </row>
    <row r="175" spans="2:22" s="292" customFormat="1">
      <c r="S175" s="305"/>
      <c r="T175" s="305"/>
      <c r="U175" s="305"/>
      <c r="V175" s="305"/>
    </row>
    <row r="176" spans="2:22" s="292" customFormat="1">
      <c r="B176" s="303"/>
      <c r="P176" s="304"/>
      <c r="S176" s="305"/>
      <c r="T176" s="305"/>
      <c r="U176" s="305"/>
      <c r="V176" s="305"/>
    </row>
    <row r="177" spans="2:22" s="292" customFormat="1">
      <c r="S177" s="305"/>
      <c r="T177" s="305"/>
      <c r="U177" s="305"/>
      <c r="V177" s="305"/>
    </row>
    <row r="178" spans="2:22" s="292" customFormat="1">
      <c r="S178" s="305"/>
      <c r="T178" s="305"/>
      <c r="U178" s="305"/>
      <c r="V178" s="305"/>
    </row>
    <row r="179" spans="2:22" s="292" customFormat="1">
      <c r="B179" s="303"/>
      <c r="P179" s="304"/>
      <c r="S179" s="305"/>
      <c r="T179" s="305"/>
      <c r="U179" s="305"/>
      <c r="V179" s="305"/>
    </row>
    <row r="180" spans="2:22" s="292" customFormat="1">
      <c r="S180" s="305"/>
      <c r="T180" s="305"/>
      <c r="U180" s="305"/>
      <c r="V180" s="305"/>
    </row>
    <row r="181" spans="2:22" s="292" customFormat="1">
      <c r="S181" s="305"/>
      <c r="T181" s="305"/>
      <c r="U181" s="305"/>
      <c r="V181" s="305"/>
    </row>
    <row r="182" spans="2:22" s="292" customFormat="1">
      <c r="B182" s="303"/>
      <c r="P182" s="304"/>
      <c r="S182" s="305"/>
      <c r="T182" s="305"/>
      <c r="U182" s="305"/>
      <c r="V182" s="305"/>
    </row>
    <row r="183" spans="2:22" s="292" customFormat="1">
      <c r="S183" s="305"/>
      <c r="T183" s="305"/>
      <c r="U183" s="305"/>
      <c r="V183" s="305"/>
    </row>
    <row r="184" spans="2:22" s="292" customFormat="1">
      <c r="S184" s="305"/>
      <c r="T184" s="305"/>
      <c r="U184" s="305"/>
      <c r="V184" s="305"/>
    </row>
    <row r="185" spans="2:22" s="292" customFormat="1">
      <c r="B185" s="303"/>
      <c r="P185" s="304"/>
      <c r="S185" s="305"/>
      <c r="T185" s="305"/>
      <c r="U185" s="305"/>
      <c r="V185" s="305"/>
    </row>
    <row r="186" spans="2:22" s="292" customFormat="1">
      <c r="S186" s="305"/>
      <c r="T186" s="305"/>
      <c r="U186" s="305"/>
      <c r="V186" s="305"/>
    </row>
    <row r="187" spans="2:22" s="292" customFormat="1">
      <c r="S187" s="305"/>
      <c r="T187" s="305"/>
      <c r="U187" s="305"/>
      <c r="V187" s="305"/>
    </row>
    <row r="188" spans="2:22" s="292" customFormat="1">
      <c r="B188" s="303"/>
      <c r="P188" s="304"/>
      <c r="S188" s="305"/>
      <c r="T188" s="305"/>
      <c r="U188" s="305"/>
      <c r="V188" s="305"/>
    </row>
    <row r="189" spans="2:22" s="292" customFormat="1">
      <c r="S189" s="305"/>
      <c r="T189" s="305"/>
      <c r="U189" s="305"/>
      <c r="V189" s="305"/>
    </row>
    <row r="190" spans="2:22" s="292" customFormat="1">
      <c r="S190" s="305"/>
      <c r="T190" s="305"/>
      <c r="U190" s="305"/>
      <c r="V190" s="305"/>
    </row>
    <row r="191" spans="2:22" s="292" customFormat="1">
      <c r="B191" s="303"/>
      <c r="P191" s="304"/>
      <c r="S191" s="305"/>
      <c r="T191" s="305"/>
      <c r="U191" s="305"/>
      <c r="V191" s="305"/>
    </row>
    <row r="192" spans="2:22" s="292" customFormat="1">
      <c r="S192" s="305"/>
      <c r="T192" s="305"/>
      <c r="U192" s="305"/>
      <c r="V192" s="305"/>
    </row>
    <row r="193" spans="2:22" s="292" customFormat="1">
      <c r="S193" s="305"/>
      <c r="T193" s="305"/>
      <c r="U193" s="305"/>
      <c r="V193" s="305"/>
    </row>
    <row r="194" spans="2:22" s="292" customFormat="1">
      <c r="B194" s="303"/>
      <c r="P194" s="304"/>
      <c r="S194" s="305"/>
      <c r="T194" s="305"/>
      <c r="U194" s="305"/>
      <c r="V194" s="305"/>
    </row>
    <row r="195" spans="2:22" s="292" customFormat="1">
      <c r="S195" s="305"/>
      <c r="T195" s="305"/>
      <c r="U195" s="305"/>
      <c r="V195" s="305"/>
    </row>
    <row r="196" spans="2:22" s="292" customFormat="1">
      <c r="S196" s="305"/>
      <c r="T196" s="305"/>
      <c r="U196" s="305"/>
      <c r="V196" s="305"/>
    </row>
    <row r="197" spans="2:22" s="292" customFormat="1">
      <c r="B197" s="303"/>
      <c r="P197" s="304"/>
      <c r="S197" s="305"/>
      <c r="T197" s="305"/>
      <c r="U197" s="305"/>
      <c r="V197" s="305"/>
    </row>
    <row r="198" spans="2:22" s="292" customFormat="1">
      <c r="S198" s="305"/>
      <c r="T198" s="305"/>
      <c r="U198" s="305"/>
      <c r="V198" s="305"/>
    </row>
    <row r="199" spans="2:22" s="292" customFormat="1">
      <c r="S199" s="305"/>
      <c r="T199" s="305"/>
      <c r="U199" s="305"/>
      <c r="V199" s="305"/>
    </row>
    <row r="200" spans="2:22" s="292" customFormat="1">
      <c r="B200" s="303"/>
      <c r="P200" s="304"/>
      <c r="S200" s="305"/>
      <c r="T200" s="305"/>
      <c r="U200" s="305"/>
      <c r="V200" s="305"/>
    </row>
    <row r="201" spans="2:22" s="292" customFormat="1">
      <c r="S201" s="305"/>
      <c r="T201" s="305"/>
      <c r="U201" s="305"/>
      <c r="V201" s="305"/>
    </row>
    <row r="202" spans="2:22" s="292" customFormat="1">
      <c r="S202" s="305"/>
      <c r="T202" s="305"/>
      <c r="U202" s="305"/>
      <c r="V202" s="305"/>
    </row>
    <row r="203" spans="2:22" s="292" customFormat="1">
      <c r="B203" s="303"/>
      <c r="P203" s="304"/>
      <c r="S203" s="305"/>
      <c r="T203" s="305"/>
      <c r="U203" s="305"/>
      <c r="V203" s="305"/>
    </row>
    <row r="204" spans="2:22" s="292" customFormat="1">
      <c r="S204" s="305"/>
      <c r="T204" s="305"/>
      <c r="U204" s="305"/>
      <c r="V204" s="305"/>
    </row>
    <row r="205" spans="2:22" s="292" customFormat="1">
      <c r="S205" s="305"/>
      <c r="T205" s="305"/>
      <c r="U205" s="305"/>
      <c r="V205" s="305"/>
    </row>
    <row r="206" spans="2:22" s="292" customFormat="1">
      <c r="B206" s="303"/>
      <c r="P206" s="304"/>
      <c r="S206" s="305"/>
      <c r="T206" s="305"/>
      <c r="U206" s="305"/>
      <c r="V206" s="305"/>
    </row>
    <row r="207" spans="2:22" s="292" customFormat="1">
      <c r="S207" s="305"/>
      <c r="T207" s="305"/>
      <c r="U207" s="305"/>
      <c r="V207" s="305"/>
    </row>
    <row r="208" spans="2:22" s="292" customFormat="1">
      <c r="S208" s="305"/>
      <c r="T208" s="305"/>
      <c r="U208" s="305"/>
      <c r="V208" s="305"/>
    </row>
    <row r="209" spans="2:22" s="292" customFormat="1">
      <c r="B209" s="303"/>
      <c r="P209" s="304"/>
      <c r="S209" s="305"/>
      <c r="T209" s="305"/>
      <c r="U209" s="305"/>
      <c r="V209" s="305"/>
    </row>
    <row r="210" spans="2:22" s="292" customFormat="1">
      <c r="S210" s="305"/>
      <c r="T210" s="305"/>
      <c r="U210" s="305"/>
      <c r="V210" s="305"/>
    </row>
    <row r="211" spans="2:22" s="292" customFormat="1">
      <c r="S211" s="305"/>
      <c r="T211" s="305"/>
      <c r="U211" s="305"/>
      <c r="V211" s="305"/>
    </row>
    <row r="212" spans="2:22" s="292" customFormat="1">
      <c r="B212" s="303"/>
      <c r="P212" s="304"/>
      <c r="S212" s="305"/>
      <c r="T212" s="305"/>
      <c r="U212" s="305"/>
      <c r="V212" s="305"/>
    </row>
    <row r="213" spans="2:22" s="292" customFormat="1">
      <c r="S213" s="305"/>
      <c r="T213" s="305"/>
      <c r="U213" s="305"/>
      <c r="V213" s="305"/>
    </row>
    <row r="214" spans="2:22" s="292" customFormat="1">
      <c r="S214" s="305"/>
      <c r="T214" s="305"/>
      <c r="U214" s="305"/>
      <c r="V214" s="305"/>
    </row>
    <row r="215" spans="2:22" s="292" customFormat="1">
      <c r="B215" s="303"/>
      <c r="P215" s="304"/>
      <c r="S215" s="305"/>
      <c r="T215" s="305"/>
      <c r="U215" s="305"/>
      <c r="V215" s="305"/>
    </row>
    <row r="216" spans="2:22" s="292" customFormat="1">
      <c r="S216" s="305"/>
      <c r="T216" s="305"/>
      <c r="U216" s="305"/>
      <c r="V216" s="305"/>
    </row>
    <row r="217" spans="2:22" s="292" customFormat="1">
      <c r="S217" s="305"/>
      <c r="T217" s="305"/>
      <c r="U217" s="305"/>
      <c r="V217" s="305"/>
    </row>
    <row r="218" spans="2:22" s="292" customFormat="1">
      <c r="B218" s="303"/>
      <c r="P218" s="304"/>
      <c r="S218" s="305"/>
      <c r="T218" s="305"/>
      <c r="U218" s="305"/>
      <c r="V218" s="305"/>
    </row>
    <row r="219" spans="2:22" s="292" customFormat="1">
      <c r="S219" s="305"/>
      <c r="T219" s="305"/>
      <c r="U219" s="305"/>
      <c r="V219" s="305"/>
    </row>
    <row r="220" spans="2:22" s="292" customFormat="1">
      <c r="S220" s="305"/>
      <c r="T220" s="305"/>
      <c r="U220" s="305"/>
      <c r="V220" s="305"/>
    </row>
    <row r="221" spans="2:22" s="292" customFormat="1">
      <c r="B221" s="303"/>
      <c r="P221" s="304"/>
      <c r="S221" s="305"/>
      <c r="T221" s="305"/>
      <c r="U221" s="305"/>
      <c r="V221" s="305"/>
    </row>
    <row r="222" spans="2:22" s="292" customFormat="1">
      <c r="S222" s="305"/>
      <c r="T222" s="305"/>
      <c r="U222" s="305"/>
      <c r="V222" s="305"/>
    </row>
    <row r="223" spans="2:22" s="292" customFormat="1">
      <c r="S223" s="305"/>
      <c r="T223" s="305"/>
      <c r="U223" s="305"/>
      <c r="V223" s="305"/>
    </row>
    <row r="224" spans="2:22" s="292" customFormat="1">
      <c r="B224" s="303"/>
      <c r="P224" s="304"/>
      <c r="S224" s="305"/>
      <c r="T224" s="305"/>
      <c r="U224" s="305"/>
      <c r="V224" s="305"/>
    </row>
    <row r="225" spans="2:22" s="292" customFormat="1">
      <c r="S225" s="305"/>
      <c r="T225" s="305"/>
      <c r="U225" s="305"/>
      <c r="V225" s="305"/>
    </row>
    <row r="226" spans="2:22" s="292" customFormat="1">
      <c r="S226" s="305"/>
      <c r="T226" s="305"/>
      <c r="U226" s="305"/>
      <c r="V226" s="305"/>
    </row>
    <row r="227" spans="2:22" s="292" customFormat="1">
      <c r="B227" s="303"/>
      <c r="P227" s="304"/>
      <c r="S227" s="305"/>
      <c r="T227" s="305"/>
      <c r="U227" s="305"/>
      <c r="V227" s="305"/>
    </row>
    <row r="228" spans="2:22" s="292" customFormat="1">
      <c r="S228" s="305"/>
      <c r="T228" s="305"/>
      <c r="U228" s="305"/>
      <c r="V228" s="305"/>
    </row>
    <row r="229" spans="2:22" s="292" customFormat="1">
      <c r="S229" s="305"/>
      <c r="T229" s="305"/>
      <c r="U229" s="305"/>
      <c r="V229" s="305"/>
    </row>
    <row r="230" spans="2:22" s="292" customFormat="1">
      <c r="B230" s="303"/>
      <c r="P230" s="304"/>
      <c r="S230" s="305"/>
      <c r="T230" s="305"/>
      <c r="U230" s="305"/>
      <c r="V230" s="305"/>
    </row>
    <row r="231" spans="2:22" s="292" customFormat="1">
      <c r="S231" s="305"/>
      <c r="T231" s="305"/>
      <c r="U231" s="305"/>
      <c r="V231" s="305"/>
    </row>
    <row r="232" spans="2:22" s="292" customFormat="1">
      <c r="S232" s="305"/>
      <c r="T232" s="305"/>
      <c r="U232" s="305"/>
      <c r="V232" s="305"/>
    </row>
    <row r="233" spans="2:22" s="292" customFormat="1">
      <c r="B233" s="303"/>
      <c r="P233" s="304"/>
      <c r="S233" s="305"/>
      <c r="T233" s="305"/>
      <c r="U233" s="305"/>
      <c r="V233" s="305"/>
    </row>
    <row r="234" spans="2:22" s="292" customFormat="1">
      <c r="S234" s="305"/>
      <c r="T234" s="305"/>
      <c r="U234" s="305"/>
      <c r="V234" s="305"/>
    </row>
    <row r="235" spans="2:22" s="292" customFormat="1">
      <c r="S235" s="305"/>
      <c r="T235" s="305"/>
      <c r="U235" s="305"/>
      <c r="V235" s="305"/>
    </row>
    <row r="236" spans="2:22" s="292" customFormat="1">
      <c r="B236" s="303"/>
      <c r="P236" s="304"/>
      <c r="S236" s="305"/>
      <c r="T236" s="305"/>
      <c r="U236" s="305"/>
      <c r="V236" s="305"/>
    </row>
    <row r="237" spans="2:22" s="292" customFormat="1">
      <c r="S237" s="305"/>
      <c r="T237" s="305"/>
      <c r="U237" s="305"/>
      <c r="V237" s="305"/>
    </row>
    <row r="238" spans="2:22" s="292" customFormat="1">
      <c r="S238" s="305"/>
      <c r="T238" s="305"/>
      <c r="U238" s="305"/>
      <c r="V238" s="305"/>
    </row>
    <row r="239" spans="2:22" s="292" customFormat="1">
      <c r="B239" s="303"/>
      <c r="P239" s="304"/>
      <c r="S239" s="305"/>
      <c r="T239" s="305"/>
      <c r="U239" s="305"/>
      <c r="V239" s="305"/>
    </row>
    <row r="240" spans="2:22" s="292" customFormat="1">
      <c r="S240" s="305"/>
      <c r="T240" s="305"/>
      <c r="U240" s="305"/>
      <c r="V240" s="305"/>
    </row>
    <row r="241" spans="2:22" s="292" customFormat="1">
      <c r="S241" s="305"/>
      <c r="T241" s="305"/>
      <c r="U241" s="305"/>
      <c r="V241" s="305"/>
    </row>
    <row r="242" spans="2:22" s="292" customFormat="1">
      <c r="B242" s="303"/>
      <c r="P242" s="304"/>
      <c r="S242" s="305"/>
      <c r="T242" s="305"/>
      <c r="U242" s="305"/>
      <c r="V242" s="305"/>
    </row>
    <row r="243" spans="2:22" s="292" customFormat="1">
      <c r="S243" s="305"/>
      <c r="T243" s="305"/>
      <c r="U243" s="305"/>
      <c r="V243" s="305"/>
    </row>
    <row r="244" spans="2:22" s="292" customFormat="1">
      <c r="S244" s="305"/>
      <c r="T244" s="305"/>
      <c r="U244" s="305"/>
      <c r="V244" s="305"/>
    </row>
    <row r="245" spans="2:22" s="292" customFormat="1">
      <c r="B245" s="303"/>
      <c r="P245" s="304"/>
      <c r="S245" s="305"/>
      <c r="T245" s="305"/>
      <c r="U245" s="305"/>
      <c r="V245" s="305"/>
    </row>
    <row r="246" spans="2:22" s="292" customFormat="1">
      <c r="S246" s="305"/>
      <c r="T246" s="305"/>
      <c r="U246" s="305"/>
      <c r="V246" s="305"/>
    </row>
    <row r="247" spans="2:22" s="292" customFormat="1">
      <c r="S247" s="305"/>
      <c r="T247" s="305"/>
      <c r="U247" s="305"/>
      <c r="V247" s="305"/>
    </row>
    <row r="248" spans="2:22" s="292" customFormat="1">
      <c r="B248" s="303"/>
      <c r="P248" s="304"/>
      <c r="S248" s="305"/>
      <c r="T248" s="305"/>
      <c r="U248" s="305"/>
      <c r="V248" s="305"/>
    </row>
    <row r="249" spans="2:22" s="292" customFormat="1">
      <c r="S249" s="305"/>
      <c r="T249" s="305"/>
      <c r="U249" s="305"/>
      <c r="V249" s="305"/>
    </row>
    <row r="250" spans="2:22" s="292" customFormat="1">
      <c r="S250" s="305"/>
      <c r="T250" s="305"/>
      <c r="U250" s="305"/>
      <c r="V250" s="305"/>
    </row>
    <row r="251" spans="2:22" s="292" customFormat="1">
      <c r="B251" s="303"/>
      <c r="P251" s="304"/>
      <c r="S251" s="305"/>
      <c r="T251" s="305"/>
      <c r="U251" s="305"/>
      <c r="V251" s="305"/>
    </row>
    <row r="252" spans="2:22" s="292" customFormat="1">
      <c r="S252" s="305"/>
      <c r="T252" s="305"/>
      <c r="U252" s="305"/>
      <c r="V252" s="305"/>
    </row>
    <row r="253" spans="2:22" s="292" customFormat="1">
      <c r="S253" s="305"/>
      <c r="T253" s="305"/>
      <c r="U253" s="305"/>
      <c r="V253" s="305"/>
    </row>
    <row r="254" spans="2:22" s="292" customFormat="1">
      <c r="B254" s="303"/>
      <c r="P254" s="304"/>
      <c r="S254" s="305"/>
      <c r="T254" s="305"/>
      <c r="U254" s="305"/>
      <c r="V254" s="305"/>
    </row>
    <row r="255" spans="2:22" s="292" customFormat="1">
      <c r="S255" s="305"/>
      <c r="T255" s="305"/>
      <c r="U255" s="305"/>
      <c r="V255" s="305"/>
    </row>
    <row r="256" spans="2:22" s="292" customFormat="1">
      <c r="S256" s="305"/>
      <c r="T256" s="305"/>
      <c r="U256" s="305"/>
      <c r="V256" s="305"/>
    </row>
    <row r="257" spans="2:22" s="292" customFormat="1">
      <c r="B257" s="303"/>
      <c r="P257" s="304"/>
      <c r="S257" s="305"/>
      <c r="T257" s="305"/>
      <c r="U257" s="305"/>
      <c r="V257" s="305"/>
    </row>
    <row r="258" spans="2:22" s="292" customFormat="1">
      <c r="S258" s="305"/>
      <c r="T258" s="305"/>
      <c r="U258" s="305"/>
      <c r="V258" s="305"/>
    </row>
    <row r="259" spans="2:22" s="292" customFormat="1">
      <c r="S259" s="305"/>
      <c r="T259" s="305"/>
      <c r="U259" s="305"/>
      <c r="V259" s="305"/>
    </row>
    <row r="260" spans="2:22" s="292" customFormat="1">
      <c r="B260" s="303"/>
      <c r="P260" s="304"/>
      <c r="S260" s="305"/>
      <c r="T260" s="305"/>
      <c r="U260" s="305"/>
      <c r="V260" s="305"/>
    </row>
    <row r="261" spans="2:22" s="292" customFormat="1">
      <c r="S261" s="305"/>
      <c r="T261" s="305"/>
      <c r="U261" s="305"/>
      <c r="V261" s="305"/>
    </row>
    <row r="262" spans="2:22" s="292" customFormat="1">
      <c r="S262" s="305"/>
      <c r="T262" s="305"/>
      <c r="U262" s="305"/>
      <c r="V262" s="305"/>
    </row>
    <row r="263" spans="2:22" s="292" customFormat="1">
      <c r="B263" s="303"/>
      <c r="P263" s="304"/>
      <c r="S263" s="305"/>
      <c r="T263" s="305"/>
      <c r="U263" s="305"/>
      <c r="V263" s="305"/>
    </row>
    <row r="264" spans="2:22" s="292" customFormat="1">
      <c r="S264" s="305"/>
      <c r="T264" s="305"/>
      <c r="U264" s="305"/>
      <c r="V264" s="305"/>
    </row>
    <row r="265" spans="2:22" s="292" customFormat="1">
      <c r="S265" s="305"/>
      <c r="T265" s="305"/>
      <c r="U265" s="305"/>
      <c r="V265" s="305"/>
    </row>
    <row r="266" spans="2:22" s="292" customFormat="1">
      <c r="B266" s="303"/>
      <c r="P266" s="304"/>
      <c r="S266" s="305"/>
      <c r="T266" s="305"/>
      <c r="U266" s="305"/>
      <c r="V266" s="305"/>
    </row>
    <row r="267" spans="2:22" s="292" customFormat="1">
      <c r="S267" s="305"/>
      <c r="T267" s="305"/>
      <c r="U267" s="305"/>
      <c r="V267" s="305"/>
    </row>
    <row r="268" spans="2:22" s="292" customFormat="1">
      <c r="S268" s="305"/>
      <c r="T268" s="305"/>
      <c r="U268" s="305"/>
      <c r="V268" s="305"/>
    </row>
    <row r="269" spans="2:22" s="292" customFormat="1">
      <c r="B269" s="303"/>
      <c r="P269" s="304"/>
      <c r="S269" s="305"/>
      <c r="T269" s="305"/>
      <c r="U269" s="305"/>
      <c r="V269" s="305"/>
    </row>
    <row r="270" spans="2:22" s="292" customFormat="1">
      <c r="S270" s="305"/>
      <c r="T270" s="305"/>
      <c r="U270" s="305"/>
      <c r="V270" s="305"/>
    </row>
    <row r="271" spans="2:22" s="292" customFormat="1">
      <c r="S271" s="305"/>
      <c r="T271" s="305"/>
      <c r="U271" s="305"/>
      <c r="V271" s="305"/>
    </row>
    <row r="272" spans="2:22" s="292" customFormat="1">
      <c r="B272" s="303"/>
      <c r="P272" s="304"/>
      <c r="S272" s="305"/>
      <c r="T272" s="305"/>
      <c r="U272" s="305"/>
      <c r="V272" s="305"/>
    </row>
    <row r="273" spans="2:22" s="292" customFormat="1">
      <c r="S273" s="305"/>
      <c r="T273" s="305"/>
      <c r="U273" s="305"/>
      <c r="V273" s="305"/>
    </row>
    <row r="274" spans="2:22" s="292" customFormat="1">
      <c r="S274" s="305"/>
      <c r="T274" s="305"/>
      <c r="U274" s="305"/>
      <c r="V274" s="305"/>
    </row>
    <row r="275" spans="2:22" s="292" customFormat="1">
      <c r="B275" s="303"/>
      <c r="P275" s="304"/>
      <c r="S275" s="305"/>
      <c r="T275" s="305"/>
      <c r="U275" s="305"/>
      <c r="V275" s="305"/>
    </row>
    <row r="276" spans="2:22" s="292" customFormat="1">
      <c r="S276" s="305"/>
      <c r="T276" s="305"/>
      <c r="U276" s="305"/>
      <c r="V276" s="305"/>
    </row>
    <row r="277" spans="2:22" s="292" customFormat="1">
      <c r="S277" s="305"/>
      <c r="T277" s="305"/>
      <c r="U277" s="305"/>
      <c r="V277" s="305"/>
    </row>
    <row r="278" spans="2:22" s="292" customFormat="1">
      <c r="B278" s="303"/>
      <c r="P278" s="304"/>
      <c r="S278" s="306"/>
      <c r="T278" s="305"/>
      <c r="U278" s="305"/>
      <c r="V278" s="305"/>
    </row>
    <row r="279" spans="2:22" s="292" customFormat="1">
      <c r="S279" s="305"/>
      <c r="T279" s="305"/>
      <c r="U279" s="305"/>
      <c r="V279" s="305"/>
    </row>
    <row r="280" spans="2:22" s="292" customFormat="1">
      <c r="S280" s="305"/>
      <c r="T280" s="305"/>
      <c r="U280" s="305"/>
      <c r="V280" s="305"/>
    </row>
    <row r="281" spans="2:22" s="292" customFormat="1">
      <c r="B281" s="303"/>
      <c r="P281" s="304"/>
      <c r="S281" s="305"/>
      <c r="T281" s="305"/>
      <c r="U281" s="305"/>
      <c r="V281" s="305"/>
    </row>
    <row r="282" spans="2:22" s="292" customFormat="1">
      <c r="S282" s="305"/>
      <c r="T282" s="305"/>
      <c r="U282" s="305"/>
      <c r="V282" s="305"/>
    </row>
    <row r="283" spans="2:22" s="292" customFormat="1">
      <c r="S283" s="305"/>
      <c r="T283" s="305"/>
      <c r="U283" s="305"/>
      <c r="V283" s="305"/>
    </row>
    <row r="284" spans="2:22" s="292" customFormat="1">
      <c r="B284" s="303"/>
      <c r="P284" s="304"/>
      <c r="S284" s="305"/>
      <c r="T284" s="305"/>
      <c r="U284" s="305"/>
      <c r="V284" s="305"/>
    </row>
    <row r="285" spans="2:22" s="292" customFormat="1">
      <c r="S285" s="305"/>
      <c r="T285" s="305"/>
      <c r="U285" s="305"/>
      <c r="V285" s="305"/>
    </row>
    <row r="286" spans="2:22" s="292" customFormat="1">
      <c r="S286" s="305"/>
      <c r="T286" s="305"/>
      <c r="U286" s="305"/>
      <c r="V286" s="305"/>
    </row>
    <row r="287" spans="2:22" s="292" customFormat="1">
      <c r="B287" s="303"/>
      <c r="P287" s="304"/>
      <c r="S287" s="305"/>
      <c r="T287" s="305"/>
      <c r="U287" s="305"/>
      <c r="V287" s="305"/>
    </row>
    <row r="288" spans="2:22" s="292" customFormat="1">
      <c r="S288" s="305"/>
      <c r="T288" s="305"/>
      <c r="U288" s="305"/>
      <c r="V288" s="305"/>
    </row>
    <row r="289" spans="2:22" s="292" customFormat="1">
      <c r="S289" s="305"/>
      <c r="T289" s="305"/>
      <c r="U289" s="305"/>
      <c r="V289" s="305"/>
    </row>
    <row r="290" spans="2:22" s="292" customFormat="1">
      <c r="B290" s="303"/>
      <c r="P290" s="304"/>
      <c r="S290" s="305"/>
      <c r="T290" s="305"/>
      <c r="U290" s="305"/>
      <c r="V290" s="305"/>
    </row>
    <row r="291" spans="2:22" s="292" customFormat="1">
      <c r="S291" s="305"/>
      <c r="T291" s="305"/>
      <c r="U291" s="305"/>
      <c r="V291" s="305"/>
    </row>
    <row r="292" spans="2:22" s="292" customFormat="1">
      <c r="S292" s="305"/>
      <c r="T292" s="305"/>
      <c r="U292" s="305"/>
      <c r="V292" s="305"/>
    </row>
    <row r="293" spans="2:22" s="292" customFormat="1">
      <c r="B293" s="303"/>
      <c r="P293" s="304"/>
      <c r="S293" s="305"/>
      <c r="T293" s="305"/>
      <c r="U293" s="305"/>
      <c r="V293" s="305"/>
    </row>
    <row r="294" spans="2:22" s="292" customFormat="1">
      <c r="S294" s="305"/>
      <c r="T294" s="305"/>
      <c r="U294" s="305"/>
      <c r="V294" s="305"/>
    </row>
    <row r="295" spans="2:22" s="292" customFormat="1">
      <c r="S295" s="305"/>
      <c r="T295" s="305"/>
      <c r="U295" s="305"/>
      <c r="V295" s="305"/>
    </row>
    <row r="296" spans="2:22" s="292" customFormat="1">
      <c r="B296" s="303"/>
      <c r="P296" s="304"/>
      <c r="S296" s="306"/>
      <c r="T296" s="305"/>
      <c r="U296" s="305"/>
      <c r="V296" s="305"/>
    </row>
    <row r="297" spans="2:22" s="292" customFormat="1">
      <c r="S297" s="305"/>
      <c r="T297" s="305"/>
      <c r="U297" s="305"/>
      <c r="V297" s="305"/>
    </row>
    <row r="298" spans="2:22" s="292" customFormat="1">
      <c r="S298" s="305"/>
      <c r="T298" s="305"/>
      <c r="U298" s="305"/>
      <c r="V298" s="305"/>
    </row>
    <row r="299" spans="2:22" s="292" customFormat="1">
      <c r="B299" s="303"/>
      <c r="P299" s="304"/>
      <c r="S299" s="305"/>
      <c r="T299" s="305"/>
      <c r="U299" s="305"/>
      <c r="V299" s="305"/>
    </row>
    <row r="300" spans="2:22" s="292" customFormat="1">
      <c r="S300" s="305"/>
      <c r="T300" s="305"/>
      <c r="U300" s="305"/>
      <c r="V300" s="305"/>
    </row>
    <row r="301" spans="2:22" s="292" customFormat="1">
      <c r="S301" s="305"/>
      <c r="T301" s="305"/>
      <c r="U301" s="305"/>
      <c r="V301" s="305"/>
    </row>
    <row r="302" spans="2:22" s="292" customFormat="1">
      <c r="B302" s="303"/>
      <c r="P302" s="304"/>
      <c r="S302" s="305"/>
      <c r="T302" s="305"/>
      <c r="U302" s="305"/>
      <c r="V302" s="305"/>
    </row>
    <row r="303" spans="2:22" s="292" customFormat="1">
      <c r="S303" s="305"/>
      <c r="T303" s="305"/>
      <c r="U303" s="305"/>
      <c r="V303" s="305"/>
    </row>
    <row r="304" spans="2:22" s="292" customFormat="1">
      <c r="S304" s="305"/>
      <c r="T304" s="305"/>
      <c r="U304" s="305"/>
      <c r="V304" s="305"/>
    </row>
    <row r="305" spans="2:22" s="292" customFormat="1">
      <c r="B305" s="303"/>
      <c r="P305" s="304"/>
      <c r="S305" s="305"/>
      <c r="T305" s="305"/>
      <c r="U305" s="305"/>
      <c r="V305" s="305"/>
    </row>
    <row r="306" spans="2:22" s="292" customFormat="1">
      <c r="S306" s="305"/>
      <c r="T306" s="305"/>
      <c r="U306" s="305"/>
      <c r="V306" s="305"/>
    </row>
    <row r="307" spans="2:22" s="292" customFormat="1">
      <c r="S307" s="305"/>
      <c r="T307" s="305"/>
      <c r="U307" s="305"/>
      <c r="V307" s="305"/>
    </row>
    <row r="308" spans="2:22" s="292" customFormat="1">
      <c r="B308" s="303"/>
      <c r="P308" s="304"/>
      <c r="S308" s="305"/>
      <c r="T308" s="305"/>
      <c r="U308" s="305"/>
      <c r="V308" s="305"/>
    </row>
    <row r="309" spans="2:22" s="292" customFormat="1">
      <c r="S309" s="305"/>
      <c r="T309" s="305"/>
      <c r="U309" s="305"/>
      <c r="V309" s="305"/>
    </row>
    <row r="310" spans="2:22" s="292" customFormat="1">
      <c r="S310" s="305"/>
      <c r="T310" s="305"/>
      <c r="U310" s="305"/>
      <c r="V310" s="305"/>
    </row>
    <row r="311" spans="2:22" s="292" customFormat="1">
      <c r="B311" s="303"/>
      <c r="P311" s="304"/>
      <c r="S311" s="305"/>
      <c r="T311" s="305"/>
      <c r="U311" s="305"/>
      <c r="V311" s="305"/>
    </row>
    <row r="312" spans="2:22" s="292" customFormat="1">
      <c r="S312" s="305"/>
      <c r="T312" s="305"/>
      <c r="U312" s="305"/>
      <c r="V312" s="305"/>
    </row>
    <row r="313" spans="2:22" s="292" customFormat="1">
      <c r="S313" s="305"/>
      <c r="T313" s="305"/>
      <c r="U313" s="305"/>
      <c r="V313" s="305"/>
    </row>
    <row r="314" spans="2:22" s="292" customFormat="1">
      <c r="B314" s="303"/>
      <c r="P314" s="304"/>
      <c r="S314" s="305"/>
      <c r="T314" s="305"/>
      <c r="U314" s="305"/>
      <c r="V314" s="305"/>
    </row>
    <row r="315" spans="2:22" s="292" customFormat="1">
      <c r="S315" s="305"/>
      <c r="T315" s="305"/>
      <c r="U315" s="305"/>
      <c r="V315" s="305"/>
    </row>
    <row r="316" spans="2:22" s="292" customFormat="1">
      <c r="S316" s="305"/>
      <c r="T316" s="305"/>
      <c r="U316" s="305"/>
      <c r="V316" s="305"/>
    </row>
    <row r="317" spans="2:22" s="292" customFormat="1">
      <c r="B317" s="303"/>
      <c r="P317" s="304"/>
      <c r="S317" s="305"/>
      <c r="T317" s="305"/>
      <c r="U317" s="305"/>
      <c r="V317" s="305"/>
    </row>
    <row r="318" spans="2:22" s="292" customFormat="1">
      <c r="S318" s="305"/>
      <c r="T318" s="305"/>
      <c r="U318" s="305"/>
      <c r="V318" s="305"/>
    </row>
    <row r="319" spans="2:22" s="292" customFormat="1">
      <c r="S319" s="305"/>
      <c r="T319" s="305"/>
      <c r="U319" s="305"/>
      <c r="V319" s="305"/>
    </row>
    <row r="320" spans="2:22" s="292" customFormat="1">
      <c r="B320" s="303"/>
      <c r="P320" s="304"/>
      <c r="S320" s="305"/>
      <c r="T320" s="305"/>
      <c r="U320" s="305"/>
      <c r="V320" s="305"/>
    </row>
    <row r="321" spans="2:22" s="292" customFormat="1">
      <c r="S321" s="305"/>
      <c r="T321" s="305"/>
      <c r="U321" s="305"/>
      <c r="V321" s="305"/>
    </row>
    <row r="322" spans="2:22" s="292" customFormat="1">
      <c r="S322" s="305"/>
      <c r="T322" s="305"/>
      <c r="U322" s="305"/>
      <c r="V322" s="305"/>
    </row>
    <row r="323" spans="2:22" s="292" customFormat="1">
      <c r="B323" s="303"/>
      <c r="P323" s="304"/>
      <c r="S323" s="305"/>
      <c r="T323" s="305"/>
      <c r="U323" s="305"/>
      <c r="V323" s="305"/>
    </row>
    <row r="324" spans="2:22" s="292" customFormat="1">
      <c r="S324" s="305"/>
      <c r="T324" s="305"/>
      <c r="U324" s="305"/>
      <c r="V324" s="305"/>
    </row>
    <row r="325" spans="2:22" s="292" customFormat="1">
      <c r="S325" s="305"/>
      <c r="T325" s="305"/>
      <c r="U325" s="305"/>
      <c r="V325" s="305"/>
    </row>
    <row r="326" spans="2:22" s="292" customFormat="1">
      <c r="B326" s="303"/>
      <c r="P326" s="304"/>
      <c r="S326" s="305"/>
      <c r="T326" s="305"/>
      <c r="U326" s="305"/>
      <c r="V326" s="305"/>
    </row>
    <row r="327" spans="2:22" s="292" customFormat="1">
      <c r="S327" s="305"/>
      <c r="T327" s="305"/>
      <c r="U327" s="305"/>
      <c r="V327" s="305"/>
    </row>
    <row r="328" spans="2:22" s="292" customFormat="1">
      <c r="S328" s="305"/>
      <c r="T328" s="305"/>
      <c r="U328" s="305"/>
      <c r="V328" s="305"/>
    </row>
    <row r="329" spans="2:22" s="292" customFormat="1">
      <c r="B329" s="303"/>
      <c r="P329" s="304"/>
      <c r="S329" s="305"/>
      <c r="T329" s="305"/>
      <c r="U329" s="305"/>
      <c r="V329" s="305"/>
    </row>
    <row r="330" spans="2:22" s="292" customFormat="1">
      <c r="S330" s="305"/>
      <c r="T330" s="305"/>
      <c r="U330" s="305"/>
      <c r="V330" s="305"/>
    </row>
    <row r="331" spans="2:22" s="292" customFormat="1">
      <c r="S331" s="305"/>
      <c r="T331" s="305"/>
      <c r="U331" s="305"/>
      <c r="V331" s="305"/>
    </row>
    <row r="332" spans="2:22" s="292" customFormat="1">
      <c r="B332" s="303"/>
      <c r="P332" s="304"/>
      <c r="S332" s="305"/>
      <c r="T332" s="305"/>
      <c r="U332" s="305"/>
      <c r="V332" s="305"/>
    </row>
    <row r="333" spans="2:22" s="292" customFormat="1">
      <c r="S333" s="305"/>
      <c r="T333" s="305"/>
      <c r="U333" s="305"/>
      <c r="V333" s="305"/>
    </row>
    <row r="334" spans="2:22" s="292" customFormat="1">
      <c r="S334" s="305"/>
      <c r="T334" s="305"/>
      <c r="U334" s="305"/>
      <c r="V334" s="305"/>
    </row>
    <row r="335" spans="2:22" s="292" customFormat="1">
      <c r="B335" s="303"/>
      <c r="P335" s="304"/>
      <c r="S335" s="305"/>
      <c r="T335" s="305"/>
      <c r="U335" s="305"/>
      <c r="V335" s="305"/>
    </row>
    <row r="336" spans="2:22" s="292" customFormat="1">
      <c r="S336" s="305"/>
      <c r="T336" s="305"/>
      <c r="U336" s="305"/>
      <c r="V336" s="305"/>
    </row>
    <row r="337" spans="2:22" s="292" customFormat="1">
      <c r="S337" s="305"/>
      <c r="T337" s="305"/>
      <c r="U337" s="305"/>
      <c r="V337" s="305"/>
    </row>
    <row r="338" spans="2:22" s="292" customFormat="1">
      <c r="B338" s="303"/>
      <c r="P338" s="304"/>
      <c r="S338" s="305"/>
      <c r="T338" s="305"/>
      <c r="U338" s="305"/>
      <c r="V338" s="305"/>
    </row>
    <row r="339" spans="2:22" s="292" customFormat="1">
      <c r="S339" s="305"/>
      <c r="T339" s="305"/>
      <c r="U339" s="305"/>
      <c r="V339" s="305"/>
    </row>
    <row r="340" spans="2:22" s="292" customFormat="1">
      <c r="S340" s="305"/>
      <c r="T340" s="305"/>
      <c r="U340" s="305"/>
      <c r="V340" s="305"/>
    </row>
    <row r="341" spans="2:22" s="292" customFormat="1">
      <c r="B341" s="303"/>
      <c r="P341" s="304"/>
      <c r="S341" s="305"/>
      <c r="T341" s="305"/>
      <c r="U341" s="305"/>
      <c r="V341" s="305"/>
    </row>
    <row r="342" spans="2:22" s="292" customFormat="1">
      <c r="S342" s="305"/>
      <c r="T342" s="305"/>
      <c r="U342" s="305"/>
      <c r="V342" s="305"/>
    </row>
    <row r="343" spans="2:22" s="292" customFormat="1">
      <c r="S343" s="305"/>
      <c r="T343" s="305"/>
      <c r="U343" s="305"/>
      <c r="V343" s="305"/>
    </row>
    <row r="344" spans="2:22" s="292" customFormat="1">
      <c r="B344" s="303"/>
      <c r="P344" s="304"/>
      <c r="S344" s="305"/>
      <c r="T344" s="305"/>
      <c r="U344" s="305"/>
      <c r="V344" s="305"/>
    </row>
    <row r="345" spans="2:22" s="292" customFormat="1">
      <c r="S345" s="305"/>
      <c r="T345" s="305"/>
      <c r="U345" s="305"/>
      <c r="V345" s="305"/>
    </row>
    <row r="346" spans="2:22" s="292" customFormat="1">
      <c r="S346" s="305"/>
      <c r="T346" s="305"/>
      <c r="U346" s="305"/>
      <c r="V346" s="305"/>
    </row>
    <row r="347" spans="2:22" s="292" customFormat="1">
      <c r="B347" s="303"/>
      <c r="P347" s="304"/>
      <c r="S347" s="305"/>
      <c r="T347" s="305"/>
      <c r="U347" s="305"/>
      <c r="V347" s="305"/>
    </row>
    <row r="348" spans="2:22" s="292" customFormat="1">
      <c r="S348" s="305"/>
      <c r="T348" s="305"/>
      <c r="U348" s="305"/>
      <c r="V348" s="305"/>
    </row>
    <row r="349" spans="2:22" s="292" customFormat="1">
      <c r="S349" s="305"/>
      <c r="T349" s="305"/>
      <c r="U349" s="305"/>
      <c r="V349" s="305"/>
    </row>
    <row r="350" spans="2:22" s="292" customFormat="1">
      <c r="B350" s="303"/>
      <c r="P350" s="304"/>
      <c r="S350" s="305"/>
      <c r="T350" s="305"/>
      <c r="U350" s="305"/>
      <c r="V350" s="305"/>
    </row>
    <row r="351" spans="2:22" s="292" customFormat="1">
      <c r="S351" s="305"/>
      <c r="T351" s="305"/>
      <c r="U351" s="305"/>
      <c r="V351" s="305"/>
    </row>
    <row r="352" spans="2:22" s="292" customFormat="1">
      <c r="S352" s="305"/>
      <c r="T352" s="305"/>
      <c r="U352" s="305"/>
      <c r="V352" s="305"/>
    </row>
    <row r="353" spans="2:22" s="292" customFormat="1">
      <c r="B353" s="303"/>
      <c r="P353" s="304"/>
      <c r="S353" s="305"/>
      <c r="T353" s="305"/>
      <c r="U353" s="305"/>
      <c r="V353" s="305"/>
    </row>
    <row r="354" spans="2:22" s="292" customFormat="1">
      <c r="S354" s="305"/>
      <c r="T354" s="305"/>
      <c r="U354" s="305"/>
      <c r="V354" s="305"/>
    </row>
    <row r="355" spans="2:22" s="292" customFormat="1">
      <c r="S355" s="305"/>
      <c r="T355" s="305"/>
      <c r="U355" s="305"/>
      <c r="V355" s="305"/>
    </row>
    <row r="356" spans="2:22" s="292" customFormat="1">
      <c r="B356" s="303"/>
      <c r="P356" s="304"/>
      <c r="S356" s="305"/>
      <c r="T356" s="305"/>
      <c r="U356" s="305"/>
      <c r="V356" s="305"/>
    </row>
    <row r="357" spans="2:22" s="292" customFormat="1">
      <c r="S357" s="305"/>
      <c r="T357" s="305"/>
      <c r="U357" s="305"/>
      <c r="V357" s="305"/>
    </row>
    <row r="358" spans="2:22" s="292" customFormat="1">
      <c r="S358" s="305"/>
      <c r="T358" s="305"/>
      <c r="U358" s="305"/>
      <c r="V358" s="305"/>
    </row>
    <row r="359" spans="2:22" s="292" customFormat="1">
      <c r="B359" s="303"/>
      <c r="P359" s="304"/>
      <c r="S359" s="305"/>
      <c r="T359" s="305"/>
      <c r="U359" s="305"/>
      <c r="V359" s="305"/>
    </row>
    <row r="360" spans="2:22" s="292" customFormat="1">
      <c r="S360" s="305"/>
      <c r="T360" s="305"/>
      <c r="U360" s="305"/>
      <c r="V360" s="305"/>
    </row>
    <row r="361" spans="2:22" s="292" customFormat="1">
      <c r="S361" s="305"/>
      <c r="T361" s="305"/>
      <c r="U361" s="305"/>
      <c r="V361" s="305"/>
    </row>
    <row r="362" spans="2:22" s="292" customFormat="1">
      <c r="B362" s="303"/>
      <c r="P362" s="304"/>
      <c r="S362" s="305"/>
      <c r="T362" s="305"/>
      <c r="U362" s="305"/>
      <c r="V362" s="305"/>
    </row>
    <row r="363" spans="2:22" s="292" customFormat="1">
      <c r="S363" s="305"/>
      <c r="T363" s="305"/>
      <c r="U363" s="305"/>
      <c r="V363" s="305"/>
    </row>
    <row r="364" spans="2:22" s="292" customFormat="1">
      <c r="S364" s="305"/>
      <c r="T364" s="305"/>
      <c r="U364" s="305"/>
      <c r="V364" s="305"/>
    </row>
    <row r="365" spans="2:22" s="292" customFormat="1">
      <c r="B365" s="303"/>
      <c r="P365" s="304"/>
      <c r="S365" s="305"/>
      <c r="T365" s="305"/>
      <c r="U365" s="305"/>
      <c r="V365" s="305"/>
    </row>
    <row r="366" spans="2:22" s="292" customFormat="1">
      <c r="S366" s="305"/>
      <c r="T366" s="305"/>
      <c r="U366" s="305"/>
      <c r="V366" s="305"/>
    </row>
    <row r="367" spans="2:22" s="292" customFormat="1">
      <c r="S367" s="305"/>
      <c r="T367" s="305"/>
      <c r="U367" s="305"/>
      <c r="V367" s="305"/>
    </row>
    <row r="368" spans="2:22" s="292" customFormat="1">
      <c r="B368" s="303"/>
      <c r="P368" s="304"/>
      <c r="S368" s="305"/>
      <c r="T368" s="305"/>
      <c r="U368" s="305"/>
      <c r="V368" s="305"/>
    </row>
    <row r="369" spans="2:22" s="292" customFormat="1">
      <c r="S369" s="305"/>
      <c r="T369" s="305"/>
      <c r="U369" s="305"/>
      <c r="V369" s="305"/>
    </row>
    <row r="370" spans="2:22" s="292" customFormat="1">
      <c r="S370" s="305"/>
      <c r="T370" s="305"/>
      <c r="U370" s="305"/>
      <c r="V370" s="305"/>
    </row>
    <row r="371" spans="2:22" s="292" customFormat="1">
      <c r="B371" s="303"/>
      <c r="P371" s="304"/>
      <c r="S371" s="305"/>
      <c r="T371" s="305"/>
      <c r="U371" s="305"/>
      <c r="V371" s="305"/>
    </row>
    <row r="372" spans="2:22" s="292" customFormat="1">
      <c r="S372" s="305"/>
      <c r="T372" s="305"/>
      <c r="U372" s="305"/>
      <c r="V372" s="305"/>
    </row>
    <row r="373" spans="2:22" s="292" customFormat="1">
      <c r="S373" s="305"/>
      <c r="T373" s="305"/>
      <c r="U373" s="305"/>
      <c r="V373" s="305"/>
    </row>
    <row r="374" spans="2:22" s="292" customFormat="1">
      <c r="B374" s="303"/>
      <c r="P374" s="304"/>
      <c r="S374" s="305"/>
      <c r="T374" s="305"/>
      <c r="U374" s="305"/>
      <c r="V374" s="305"/>
    </row>
    <row r="375" spans="2:22" s="292" customFormat="1">
      <c r="S375" s="305"/>
      <c r="T375" s="305"/>
      <c r="U375" s="305"/>
      <c r="V375" s="305"/>
    </row>
    <row r="376" spans="2:22" s="292" customFormat="1">
      <c r="S376" s="305"/>
      <c r="T376" s="305"/>
      <c r="U376" s="305"/>
      <c r="V376" s="305"/>
    </row>
    <row r="377" spans="2:22" s="292" customFormat="1">
      <c r="B377" s="303"/>
      <c r="P377" s="304"/>
      <c r="S377" s="305"/>
      <c r="T377" s="305"/>
      <c r="U377" s="305"/>
      <c r="V377" s="305"/>
    </row>
    <row r="378" spans="2:22" s="292" customFormat="1">
      <c r="S378" s="305"/>
      <c r="T378" s="305"/>
      <c r="U378" s="305"/>
      <c r="V378" s="305"/>
    </row>
    <row r="379" spans="2:22" s="292" customFormat="1">
      <c r="S379" s="305"/>
      <c r="T379" s="305"/>
      <c r="U379" s="305"/>
      <c r="V379" s="305"/>
    </row>
    <row r="380" spans="2:22" s="292" customFormat="1">
      <c r="B380" s="303"/>
      <c r="P380" s="304"/>
      <c r="S380" s="305"/>
      <c r="T380" s="305"/>
      <c r="U380" s="305"/>
      <c r="V380" s="305"/>
    </row>
    <row r="381" spans="2:22" s="292" customFormat="1">
      <c r="S381" s="305"/>
      <c r="T381" s="305"/>
      <c r="U381" s="305"/>
      <c r="V381" s="305"/>
    </row>
    <row r="382" spans="2:22" s="292" customFormat="1">
      <c r="S382" s="305"/>
      <c r="T382" s="305"/>
      <c r="U382" s="305"/>
      <c r="V382" s="305"/>
    </row>
    <row r="383" spans="2:22" s="292" customFormat="1">
      <c r="B383" s="303"/>
      <c r="P383" s="304"/>
      <c r="S383" s="305"/>
      <c r="T383" s="305"/>
      <c r="U383" s="305"/>
      <c r="V383" s="305"/>
    </row>
    <row r="384" spans="2:22" s="292" customFormat="1">
      <c r="S384" s="305"/>
      <c r="T384" s="305"/>
      <c r="U384" s="305"/>
      <c r="V384" s="305"/>
    </row>
    <row r="385" spans="2:22" s="292" customFormat="1">
      <c r="S385" s="305"/>
      <c r="T385" s="305"/>
      <c r="U385" s="305"/>
      <c r="V385" s="305"/>
    </row>
    <row r="386" spans="2:22" s="292" customFormat="1">
      <c r="B386" s="303"/>
      <c r="P386" s="304"/>
      <c r="S386" s="305"/>
      <c r="T386" s="305"/>
      <c r="U386" s="305"/>
      <c r="V386" s="305"/>
    </row>
    <row r="387" spans="2:22" s="292" customFormat="1">
      <c r="S387" s="305"/>
      <c r="T387" s="305"/>
      <c r="U387" s="305"/>
      <c r="V387" s="305"/>
    </row>
    <row r="388" spans="2:22" s="292" customFormat="1">
      <c r="S388" s="305"/>
      <c r="T388" s="305"/>
      <c r="U388" s="305"/>
      <c r="V388" s="305"/>
    </row>
    <row r="389" spans="2:22" s="292" customFormat="1">
      <c r="B389" s="303"/>
      <c r="P389" s="304"/>
      <c r="S389" s="305"/>
      <c r="T389" s="305"/>
      <c r="U389" s="305"/>
      <c r="V389" s="305"/>
    </row>
    <row r="390" spans="2:22" s="292" customFormat="1">
      <c r="S390" s="305"/>
      <c r="T390" s="305"/>
      <c r="U390" s="305"/>
      <c r="V390" s="305"/>
    </row>
    <row r="391" spans="2:22" s="292" customFormat="1">
      <c r="S391" s="305"/>
      <c r="T391" s="305"/>
      <c r="U391" s="305"/>
      <c r="V391" s="305"/>
    </row>
    <row r="392" spans="2:22" s="292" customFormat="1">
      <c r="B392" s="303"/>
      <c r="P392" s="304"/>
      <c r="S392" s="305"/>
      <c r="T392" s="305"/>
      <c r="U392" s="305"/>
      <c r="V392" s="305"/>
    </row>
    <row r="393" spans="2:22" s="292" customFormat="1">
      <c r="S393" s="305"/>
      <c r="T393" s="305"/>
      <c r="U393" s="305"/>
      <c r="V393" s="305"/>
    </row>
    <row r="394" spans="2:22" s="292" customFormat="1">
      <c r="S394" s="305"/>
      <c r="T394" s="305"/>
      <c r="U394" s="305"/>
      <c r="V394" s="305"/>
    </row>
    <row r="395" spans="2:22" s="292" customFormat="1">
      <c r="B395" s="303"/>
      <c r="P395" s="304"/>
      <c r="S395" s="305"/>
      <c r="T395" s="305"/>
      <c r="U395" s="305"/>
      <c r="V395" s="305"/>
    </row>
    <row r="396" spans="2:22" s="292" customFormat="1">
      <c r="S396" s="305"/>
      <c r="T396" s="305"/>
      <c r="U396" s="305"/>
      <c r="V396" s="305"/>
    </row>
    <row r="397" spans="2:22" s="292" customFormat="1">
      <c r="S397" s="305"/>
      <c r="T397" s="305"/>
      <c r="U397" s="305"/>
      <c r="V397" s="305"/>
    </row>
    <row r="398" spans="2:22" s="292" customFormat="1">
      <c r="B398" s="303"/>
      <c r="P398" s="304"/>
      <c r="S398" s="305"/>
      <c r="T398" s="305"/>
      <c r="U398" s="305"/>
      <c r="V398" s="305"/>
    </row>
    <row r="399" spans="2:22" s="292" customFormat="1">
      <c r="S399" s="305"/>
      <c r="T399" s="305"/>
      <c r="U399" s="305"/>
      <c r="V399" s="305"/>
    </row>
    <row r="400" spans="2:22" s="292" customFormat="1">
      <c r="S400" s="305"/>
      <c r="T400" s="305"/>
      <c r="U400" s="305"/>
      <c r="V400" s="305"/>
    </row>
    <row r="401" spans="2:22" s="292" customFormat="1">
      <c r="B401" s="303"/>
      <c r="P401" s="304"/>
      <c r="S401" s="305"/>
      <c r="T401" s="305"/>
      <c r="U401" s="305"/>
      <c r="V401" s="305"/>
    </row>
    <row r="402" spans="2:22" s="292" customFormat="1">
      <c r="S402" s="305"/>
      <c r="T402" s="305"/>
      <c r="U402" s="305"/>
      <c r="V402" s="305"/>
    </row>
    <row r="403" spans="2:22" s="292" customFormat="1">
      <c r="S403" s="305"/>
      <c r="T403" s="305"/>
      <c r="U403" s="305"/>
      <c r="V403" s="305"/>
    </row>
    <row r="404" spans="2:22" s="292" customFormat="1">
      <c r="B404" s="303"/>
      <c r="P404" s="304"/>
      <c r="S404" s="305"/>
      <c r="T404" s="305"/>
      <c r="U404" s="305"/>
      <c r="V404" s="305"/>
    </row>
    <row r="405" spans="2:22" s="292" customFormat="1">
      <c r="S405" s="305"/>
      <c r="T405" s="305"/>
      <c r="U405" s="305"/>
      <c r="V405" s="305"/>
    </row>
    <row r="406" spans="2:22" s="292" customFormat="1">
      <c r="S406" s="305"/>
      <c r="T406" s="305"/>
      <c r="U406" s="305"/>
      <c r="V406" s="305"/>
    </row>
    <row r="407" spans="2:22" s="292" customFormat="1">
      <c r="B407" s="303"/>
      <c r="P407" s="304"/>
      <c r="S407" s="305"/>
      <c r="T407" s="305"/>
      <c r="U407" s="305"/>
      <c r="V407" s="305"/>
    </row>
    <row r="408" spans="2:22" s="292" customFormat="1">
      <c r="S408" s="305"/>
      <c r="T408" s="305"/>
      <c r="U408" s="305"/>
      <c r="V408" s="305"/>
    </row>
    <row r="409" spans="2:22" s="292" customFormat="1">
      <c r="S409" s="305"/>
      <c r="T409" s="305"/>
      <c r="U409" s="305"/>
      <c r="V409" s="305"/>
    </row>
    <row r="410" spans="2:22" s="292" customFormat="1">
      <c r="B410" s="303"/>
      <c r="P410" s="304"/>
      <c r="S410" s="305"/>
      <c r="T410" s="305"/>
      <c r="U410" s="305"/>
      <c r="V410" s="305"/>
    </row>
    <row r="411" spans="2:22" s="292" customFormat="1">
      <c r="S411" s="305"/>
      <c r="T411" s="305"/>
      <c r="U411" s="305"/>
      <c r="V411" s="305"/>
    </row>
    <row r="412" spans="2:22" s="292" customFormat="1">
      <c r="S412" s="305"/>
      <c r="T412" s="305"/>
      <c r="U412" s="305"/>
      <c r="V412" s="305"/>
    </row>
    <row r="413" spans="2:22" s="292" customFormat="1">
      <c r="B413" s="303"/>
      <c r="P413" s="304"/>
      <c r="S413" s="305"/>
      <c r="T413" s="305"/>
      <c r="U413" s="305"/>
      <c r="V413" s="305"/>
    </row>
    <row r="414" spans="2:22" s="292" customFormat="1">
      <c r="S414" s="305"/>
      <c r="T414" s="305"/>
      <c r="U414" s="305"/>
      <c r="V414" s="305"/>
    </row>
    <row r="415" spans="2:22" s="292" customFormat="1">
      <c r="S415" s="305"/>
      <c r="T415" s="305"/>
      <c r="U415" s="305"/>
      <c r="V415" s="305"/>
    </row>
    <row r="416" spans="2:22" s="292" customFormat="1">
      <c r="B416" s="303"/>
      <c r="P416" s="304"/>
      <c r="S416" s="305"/>
      <c r="T416" s="305"/>
      <c r="U416" s="305"/>
      <c r="V416" s="305"/>
    </row>
    <row r="417" spans="2:22" s="292" customFormat="1">
      <c r="S417" s="305"/>
      <c r="T417" s="305"/>
      <c r="U417" s="305"/>
      <c r="V417" s="305"/>
    </row>
    <row r="418" spans="2:22" s="292" customFormat="1">
      <c r="S418" s="305"/>
      <c r="T418" s="305"/>
      <c r="U418" s="305"/>
      <c r="V418" s="305"/>
    </row>
    <row r="419" spans="2:22" s="292" customFormat="1">
      <c r="B419" s="303"/>
      <c r="P419" s="304"/>
      <c r="S419" s="305"/>
      <c r="T419" s="305"/>
      <c r="U419" s="305"/>
      <c r="V419" s="305"/>
    </row>
    <row r="420" spans="2:22" s="292" customFormat="1">
      <c r="S420" s="305"/>
      <c r="T420" s="305"/>
      <c r="U420" s="305"/>
      <c r="V420" s="305"/>
    </row>
    <row r="421" spans="2:22" s="292" customFormat="1">
      <c r="S421" s="305"/>
      <c r="T421" s="305"/>
      <c r="U421" s="305"/>
      <c r="V421" s="305"/>
    </row>
    <row r="422" spans="2:22" s="292" customFormat="1">
      <c r="B422" s="303"/>
      <c r="P422" s="304"/>
      <c r="S422" s="305"/>
      <c r="T422" s="305"/>
      <c r="U422" s="305"/>
      <c r="V422" s="305"/>
    </row>
    <row r="423" spans="2:22" s="292" customFormat="1">
      <c r="S423" s="305"/>
      <c r="T423" s="305"/>
      <c r="U423" s="305"/>
      <c r="V423" s="305"/>
    </row>
    <row r="424" spans="2:22" s="292" customFormat="1">
      <c r="S424" s="305"/>
      <c r="T424" s="305"/>
      <c r="U424" s="305"/>
      <c r="V424" s="305"/>
    </row>
    <row r="425" spans="2:22" s="292" customFormat="1">
      <c r="B425" s="303"/>
      <c r="P425" s="304"/>
      <c r="S425" s="305"/>
      <c r="T425" s="305"/>
      <c r="U425" s="305"/>
      <c r="V425" s="305"/>
    </row>
    <row r="426" spans="2:22" s="292" customFormat="1">
      <c r="S426" s="305"/>
      <c r="T426" s="305"/>
      <c r="U426" s="305"/>
      <c r="V426" s="305"/>
    </row>
    <row r="427" spans="2:22" s="292" customFormat="1">
      <c r="S427" s="305"/>
      <c r="T427" s="305"/>
      <c r="U427" s="305"/>
      <c r="V427" s="305"/>
    </row>
    <row r="428" spans="2:22" s="292" customFormat="1">
      <c r="B428" s="303"/>
      <c r="P428" s="304"/>
      <c r="S428" s="305"/>
      <c r="T428" s="305"/>
      <c r="U428" s="305"/>
      <c r="V428" s="305"/>
    </row>
    <row r="429" spans="2:22" s="292" customFormat="1">
      <c r="S429" s="305"/>
      <c r="T429" s="305"/>
      <c r="U429" s="305"/>
      <c r="V429" s="305"/>
    </row>
    <row r="430" spans="2:22" s="292" customFormat="1">
      <c r="S430" s="305"/>
      <c r="T430" s="305"/>
      <c r="U430" s="305"/>
      <c r="V430" s="305"/>
    </row>
    <row r="431" spans="2:22" s="292" customFormat="1">
      <c r="B431" s="303"/>
      <c r="P431" s="304"/>
      <c r="S431" s="305"/>
      <c r="T431" s="305"/>
      <c r="U431" s="305"/>
      <c r="V431" s="305"/>
    </row>
    <row r="432" spans="2:22" s="292" customFormat="1">
      <c r="S432" s="305"/>
      <c r="T432" s="305"/>
      <c r="U432" s="305"/>
      <c r="V432" s="305"/>
    </row>
    <row r="433" spans="2:22" s="292" customFormat="1">
      <c r="S433" s="305"/>
      <c r="T433" s="305"/>
      <c r="U433" s="305"/>
      <c r="V433" s="305"/>
    </row>
    <row r="434" spans="2:22" s="292" customFormat="1">
      <c r="B434" s="303"/>
      <c r="P434" s="304"/>
      <c r="S434" s="305"/>
      <c r="T434" s="305"/>
      <c r="U434" s="305"/>
      <c r="V434" s="305"/>
    </row>
    <row r="435" spans="2:22" s="292" customFormat="1">
      <c r="S435" s="305"/>
      <c r="T435" s="305"/>
      <c r="U435" s="305"/>
      <c r="V435" s="305"/>
    </row>
    <row r="436" spans="2:22" s="292" customFormat="1">
      <c r="S436" s="305"/>
      <c r="T436" s="305"/>
      <c r="U436" s="305"/>
      <c r="V436" s="305"/>
    </row>
    <row r="437" spans="2:22" s="292" customFormat="1">
      <c r="B437" s="303"/>
      <c r="P437" s="304"/>
      <c r="S437" s="305"/>
      <c r="T437" s="305"/>
      <c r="U437" s="305"/>
      <c r="V437" s="305"/>
    </row>
    <row r="438" spans="2:22" s="292" customFormat="1">
      <c r="S438" s="305"/>
      <c r="T438" s="305"/>
      <c r="U438" s="305"/>
      <c r="V438" s="305"/>
    </row>
    <row r="439" spans="2:22" s="292" customFormat="1">
      <c r="S439" s="305"/>
      <c r="T439" s="305"/>
      <c r="U439" s="305"/>
      <c r="V439" s="305"/>
    </row>
    <row r="440" spans="2:22" s="292" customFormat="1">
      <c r="B440" s="303"/>
      <c r="P440" s="304"/>
      <c r="S440" s="305"/>
      <c r="T440" s="305"/>
      <c r="U440" s="305"/>
      <c r="V440" s="305"/>
    </row>
    <row r="441" spans="2:22" s="292" customFormat="1">
      <c r="S441" s="305"/>
      <c r="T441" s="305"/>
      <c r="U441" s="305"/>
      <c r="V441" s="305"/>
    </row>
    <row r="442" spans="2:22" s="292" customFormat="1">
      <c r="S442" s="305"/>
      <c r="T442" s="305"/>
      <c r="U442" s="305"/>
      <c r="V442" s="305"/>
    </row>
    <row r="443" spans="2:22" s="292" customFormat="1">
      <c r="B443" s="303"/>
      <c r="P443" s="304"/>
      <c r="S443" s="305"/>
      <c r="T443" s="305"/>
      <c r="U443" s="305"/>
      <c r="V443" s="305"/>
    </row>
    <row r="444" spans="2:22" s="292" customFormat="1">
      <c r="S444" s="305"/>
      <c r="T444" s="305"/>
      <c r="U444" s="305"/>
      <c r="V444" s="305"/>
    </row>
    <row r="445" spans="2:22" s="292" customFormat="1">
      <c r="S445" s="305"/>
      <c r="T445" s="305"/>
      <c r="U445" s="305"/>
      <c r="V445" s="305"/>
    </row>
    <row r="446" spans="2:22" s="292" customFormat="1">
      <c r="B446" s="303"/>
      <c r="P446" s="304"/>
      <c r="S446" s="305"/>
      <c r="T446" s="305"/>
      <c r="U446" s="305"/>
      <c r="V446" s="305"/>
    </row>
    <row r="447" spans="2:22" s="292" customFormat="1">
      <c r="S447" s="305"/>
      <c r="T447" s="305"/>
      <c r="U447" s="305"/>
      <c r="V447" s="305"/>
    </row>
    <row r="448" spans="2:22" s="292" customFormat="1">
      <c r="S448" s="305"/>
      <c r="T448" s="305"/>
      <c r="U448" s="305"/>
      <c r="V448" s="305"/>
    </row>
    <row r="449" spans="2:22" s="292" customFormat="1">
      <c r="B449" s="303"/>
      <c r="P449" s="304"/>
      <c r="S449" s="305"/>
      <c r="T449" s="305"/>
      <c r="U449" s="305"/>
      <c r="V449" s="305"/>
    </row>
    <row r="450" spans="2:22" s="292" customFormat="1">
      <c r="S450" s="305"/>
      <c r="T450" s="305"/>
      <c r="U450" s="305"/>
      <c r="V450" s="305"/>
    </row>
    <row r="451" spans="2:22" s="292" customFormat="1">
      <c r="S451" s="305"/>
      <c r="T451" s="305"/>
      <c r="U451" s="305"/>
      <c r="V451" s="305"/>
    </row>
    <row r="452" spans="2:22" s="292" customFormat="1">
      <c r="B452" s="303"/>
      <c r="P452" s="304"/>
      <c r="S452" s="305"/>
      <c r="T452" s="305"/>
      <c r="U452" s="305"/>
      <c r="V452" s="305"/>
    </row>
    <row r="453" spans="2:22" s="292" customFormat="1">
      <c r="S453" s="305"/>
      <c r="T453" s="305"/>
      <c r="U453" s="305"/>
      <c r="V453" s="305"/>
    </row>
    <row r="454" spans="2:22" s="292" customFormat="1">
      <c r="S454" s="305"/>
      <c r="T454" s="305"/>
      <c r="U454" s="305"/>
      <c r="V454" s="305"/>
    </row>
    <row r="455" spans="2:22" s="292" customFormat="1">
      <c r="B455" s="303"/>
      <c r="P455" s="304"/>
      <c r="S455" s="305"/>
      <c r="T455" s="305"/>
      <c r="U455" s="305"/>
      <c r="V455" s="305"/>
    </row>
    <row r="456" spans="2:22" s="292" customFormat="1">
      <c r="S456" s="305"/>
      <c r="T456" s="305"/>
      <c r="U456" s="305"/>
      <c r="V456" s="305"/>
    </row>
    <row r="457" spans="2:22" s="292" customFormat="1">
      <c r="S457" s="305"/>
      <c r="T457" s="305"/>
      <c r="U457" s="305"/>
      <c r="V457" s="305"/>
    </row>
    <row r="458" spans="2:22" s="292" customFormat="1">
      <c r="B458" s="303"/>
      <c r="P458" s="304"/>
      <c r="S458" s="305"/>
      <c r="T458" s="305"/>
      <c r="U458" s="305"/>
      <c r="V458" s="305"/>
    </row>
    <row r="459" spans="2:22" s="292" customFormat="1">
      <c r="S459" s="305"/>
      <c r="T459" s="305"/>
      <c r="U459" s="305"/>
      <c r="V459" s="305"/>
    </row>
    <row r="460" spans="2:22" s="292" customFormat="1">
      <c r="S460" s="305"/>
      <c r="T460" s="305"/>
      <c r="U460" s="305"/>
      <c r="V460" s="305"/>
    </row>
    <row r="461" spans="2:22" s="292" customFormat="1">
      <c r="B461" s="303"/>
      <c r="P461" s="304"/>
      <c r="S461" s="305"/>
      <c r="T461" s="305"/>
      <c r="U461" s="305"/>
      <c r="V461" s="305"/>
    </row>
    <row r="462" spans="2:22" s="292" customFormat="1">
      <c r="S462" s="305"/>
      <c r="T462" s="305"/>
      <c r="U462" s="305"/>
      <c r="V462" s="305"/>
    </row>
    <row r="463" spans="2:22" s="292" customFormat="1">
      <c r="S463" s="305"/>
      <c r="T463" s="305"/>
      <c r="U463" s="305"/>
      <c r="V463" s="305"/>
    </row>
    <row r="464" spans="2:22" s="292" customFormat="1">
      <c r="B464" s="303"/>
      <c r="P464" s="304"/>
      <c r="S464" s="305"/>
      <c r="T464" s="305"/>
      <c r="U464" s="305"/>
      <c r="V464" s="305"/>
    </row>
    <row r="465" spans="2:22" s="292" customFormat="1">
      <c r="S465" s="305"/>
      <c r="T465" s="305"/>
      <c r="U465" s="305"/>
      <c r="V465" s="305"/>
    </row>
    <row r="466" spans="2:22" s="292" customFormat="1">
      <c r="S466" s="305"/>
      <c r="T466" s="305"/>
      <c r="U466" s="305"/>
      <c r="V466" s="305"/>
    </row>
    <row r="467" spans="2:22" s="292" customFormat="1">
      <c r="B467" s="303"/>
      <c r="P467" s="304"/>
      <c r="S467" s="305"/>
      <c r="T467" s="305"/>
      <c r="U467" s="305"/>
      <c r="V467" s="305"/>
    </row>
    <row r="468" spans="2:22" s="292" customFormat="1">
      <c r="S468" s="305"/>
      <c r="T468" s="305"/>
      <c r="U468" s="305"/>
      <c r="V468" s="305"/>
    </row>
    <row r="469" spans="2:22" s="292" customFormat="1">
      <c r="S469" s="305"/>
      <c r="T469" s="305"/>
      <c r="U469" s="305"/>
      <c r="V469" s="305"/>
    </row>
    <row r="470" spans="2:22" s="292" customFormat="1">
      <c r="B470" s="303"/>
      <c r="P470" s="304"/>
      <c r="S470" s="305"/>
      <c r="T470" s="305"/>
      <c r="U470" s="305"/>
      <c r="V470" s="305"/>
    </row>
    <row r="471" spans="2:22" s="292" customFormat="1">
      <c r="S471" s="305"/>
      <c r="T471" s="305"/>
      <c r="U471" s="305"/>
      <c r="V471" s="305"/>
    </row>
    <row r="472" spans="2:22" s="292" customFormat="1">
      <c r="S472" s="305"/>
      <c r="T472" s="305"/>
      <c r="U472" s="305"/>
      <c r="V472" s="305"/>
    </row>
    <row r="473" spans="2:22" s="292" customFormat="1">
      <c r="B473" s="303"/>
      <c r="P473" s="304"/>
      <c r="S473" s="305"/>
      <c r="T473" s="305"/>
      <c r="U473" s="305"/>
      <c r="V473" s="305"/>
    </row>
    <row r="474" spans="2:22" s="292" customFormat="1">
      <c r="S474" s="305"/>
      <c r="T474" s="305"/>
      <c r="U474" s="305"/>
      <c r="V474" s="305"/>
    </row>
    <row r="475" spans="2:22" s="292" customFormat="1">
      <c r="S475" s="305"/>
      <c r="T475" s="305"/>
      <c r="U475" s="305"/>
      <c r="V475" s="305"/>
    </row>
    <row r="476" spans="2:22" s="292" customFormat="1">
      <c r="B476" s="303"/>
      <c r="P476" s="304"/>
      <c r="S476" s="305"/>
      <c r="T476" s="305"/>
      <c r="U476" s="305"/>
      <c r="V476" s="305"/>
    </row>
    <row r="477" spans="2:22" s="292" customFormat="1">
      <c r="S477" s="305"/>
      <c r="T477" s="305"/>
      <c r="U477" s="305"/>
      <c r="V477" s="305"/>
    </row>
    <row r="478" spans="2:22" s="292" customFormat="1">
      <c r="S478" s="305"/>
      <c r="T478" s="305"/>
      <c r="U478" s="305"/>
      <c r="V478" s="305"/>
    </row>
    <row r="479" spans="2:22" s="292" customFormat="1">
      <c r="B479" s="303"/>
      <c r="P479" s="304"/>
      <c r="S479" s="305"/>
      <c r="T479" s="305"/>
      <c r="U479" s="305"/>
      <c r="V479" s="305"/>
    </row>
    <row r="480" spans="2:22" s="292" customFormat="1">
      <c r="S480" s="305"/>
      <c r="T480" s="305"/>
      <c r="U480" s="305"/>
      <c r="V480" s="305"/>
    </row>
    <row r="481" spans="2:22" s="292" customFormat="1">
      <c r="S481" s="305"/>
      <c r="T481" s="305"/>
      <c r="U481" s="305"/>
      <c r="V481" s="305"/>
    </row>
    <row r="482" spans="2:22" s="292" customFormat="1">
      <c r="B482" s="303"/>
      <c r="P482" s="304"/>
      <c r="S482" s="305"/>
      <c r="T482" s="305"/>
      <c r="U482" s="305"/>
      <c r="V482" s="305"/>
    </row>
    <row r="483" spans="2:22" s="292" customFormat="1">
      <c r="S483" s="305"/>
      <c r="T483" s="305"/>
      <c r="U483" s="305"/>
      <c r="V483" s="305"/>
    </row>
    <row r="484" spans="2:22" s="292" customFormat="1">
      <c r="S484" s="305"/>
      <c r="T484" s="305"/>
      <c r="U484" s="305"/>
      <c r="V484" s="305"/>
    </row>
    <row r="485" spans="2:22" s="292" customFormat="1">
      <c r="B485" s="303"/>
      <c r="P485" s="304"/>
      <c r="S485" s="305"/>
      <c r="T485" s="305"/>
      <c r="U485" s="305"/>
      <c r="V485" s="305"/>
    </row>
    <row r="486" spans="2:22" s="292" customFormat="1">
      <c r="S486" s="305"/>
      <c r="T486" s="305"/>
      <c r="U486" s="305"/>
      <c r="V486" s="305"/>
    </row>
    <row r="487" spans="2:22" s="292" customFormat="1">
      <c r="S487" s="305"/>
      <c r="T487" s="305"/>
      <c r="U487" s="305"/>
      <c r="V487" s="305"/>
    </row>
    <row r="488" spans="2:22" s="292" customFormat="1">
      <c r="B488" s="303"/>
      <c r="P488" s="304"/>
      <c r="S488" s="305"/>
      <c r="T488" s="305"/>
      <c r="U488" s="305"/>
      <c r="V488" s="305"/>
    </row>
    <row r="489" spans="2:22" s="292" customFormat="1">
      <c r="S489" s="305"/>
      <c r="T489" s="305"/>
      <c r="U489" s="305"/>
      <c r="V489" s="305"/>
    </row>
    <row r="490" spans="2:22" s="292" customFormat="1">
      <c r="S490" s="305"/>
      <c r="T490" s="305"/>
      <c r="U490" s="305"/>
      <c r="V490" s="305"/>
    </row>
    <row r="491" spans="2:22" s="292" customFormat="1">
      <c r="B491" s="303"/>
      <c r="P491" s="304"/>
      <c r="S491" s="305"/>
      <c r="T491" s="305"/>
      <c r="U491" s="305"/>
      <c r="V491" s="305"/>
    </row>
    <row r="492" spans="2:22" s="292" customFormat="1">
      <c r="S492" s="305"/>
      <c r="T492" s="305"/>
      <c r="U492" s="305"/>
      <c r="V492" s="305"/>
    </row>
    <row r="493" spans="2:22" s="292" customFormat="1">
      <c r="S493" s="305"/>
      <c r="T493" s="305"/>
      <c r="U493" s="305"/>
      <c r="V493" s="305"/>
    </row>
    <row r="494" spans="2:22" s="292" customFormat="1">
      <c r="B494" s="303"/>
      <c r="P494" s="304"/>
      <c r="S494" s="305"/>
      <c r="T494" s="305"/>
      <c r="U494" s="305"/>
      <c r="V494" s="305"/>
    </row>
    <row r="495" spans="2:22" s="292" customFormat="1">
      <c r="S495" s="305"/>
      <c r="T495" s="305"/>
      <c r="U495" s="305"/>
      <c r="V495" s="305"/>
    </row>
    <row r="496" spans="2:22" s="292" customFormat="1">
      <c r="S496" s="305"/>
      <c r="T496" s="305"/>
      <c r="U496" s="305"/>
      <c r="V496" s="305"/>
    </row>
    <row r="497" spans="2:22" s="292" customFormat="1">
      <c r="B497" s="303"/>
      <c r="P497" s="304"/>
      <c r="S497" s="305"/>
      <c r="T497" s="305"/>
      <c r="U497" s="305"/>
      <c r="V497" s="305"/>
    </row>
    <row r="498" spans="2:22" s="292" customFormat="1">
      <c r="S498" s="305"/>
      <c r="T498" s="305"/>
      <c r="U498" s="305"/>
      <c r="V498" s="305"/>
    </row>
    <row r="499" spans="2:22" s="292" customFormat="1">
      <c r="S499" s="305"/>
      <c r="T499" s="305"/>
      <c r="U499" s="305"/>
      <c r="V499" s="305"/>
    </row>
    <row r="500" spans="2:22" s="292" customFormat="1">
      <c r="B500" s="303"/>
      <c r="P500" s="304"/>
      <c r="S500" s="305"/>
      <c r="T500" s="305"/>
      <c r="U500" s="305"/>
      <c r="V500" s="305"/>
    </row>
    <row r="501" spans="2:22" s="292" customFormat="1">
      <c r="S501" s="305"/>
      <c r="T501" s="305"/>
      <c r="U501" s="305"/>
      <c r="V501" s="305"/>
    </row>
    <row r="502" spans="2:22" s="292" customFormat="1">
      <c r="S502" s="305"/>
      <c r="T502" s="305"/>
      <c r="U502" s="305"/>
      <c r="V502" s="305"/>
    </row>
    <row r="503" spans="2:22" s="292" customFormat="1">
      <c r="B503" s="303"/>
      <c r="P503" s="304"/>
      <c r="S503" s="305"/>
      <c r="T503" s="305"/>
      <c r="U503" s="305"/>
      <c r="V503" s="305"/>
    </row>
    <row r="504" spans="2:22" s="292" customFormat="1">
      <c r="S504" s="305"/>
      <c r="T504" s="305"/>
      <c r="U504" s="305"/>
      <c r="V504" s="305"/>
    </row>
    <row r="505" spans="2:22" s="292" customFormat="1">
      <c r="S505" s="305"/>
      <c r="T505" s="305"/>
      <c r="U505" s="305"/>
      <c r="V505" s="305"/>
    </row>
    <row r="506" spans="2:22" s="292" customFormat="1">
      <c r="B506" s="303"/>
      <c r="P506" s="304"/>
      <c r="S506" s="305"/>
      <c r="T506" s="305"/>
      <c r="U506" s="305"/>
      <c r="V506" s="305"/>
    </row>
    <row r="507" spans="2:22" s="292" customFormat="1">
      <c r="S507" s="305"/>
      <c r="T507" s="305"/>
      <c r="U507" s="305"/>
      <c r="V507" s="305"/>
    </row>
    <row r="508" spans="2:22" s="292" customFormat="1">
      <c r="S508" s="305"/>
      <c r="T508" s="305"/>
      <c r="U508" s="305"/>
      <c r="V508" s="305"/>
    </row>
    <row r="509" spans="2:22" s="292" customFormat="1">
      <c r="B509" s="303"/>
      <c r="P509" s="304"/>
      <c r="S509" s="305"/>
      <c r="T509" s="305"/>
      <c r="U509" s="305"/>
      <c r="V509" s="305"/>
    </row>
    <row r="510" spans="2:22" s="292" customFormat="1">
      <c r="S510" s="305"/>
      <c r="T510" s="305"/>
      <c r="U510" s="305"/>
      <c r="V510" s="305"/>
    </row>
    <row r="511" spans="2:22" s="292" customFormat="1">
      <c r="S511" s="305"/>
      <c r="T511" s="305"/>
      <c r="U511" s="305"/>
      <c r="V511" s="305"/>
    </row>
    <row r="512" spans="2:22" s="292" customFormat="1">
      <c r="B512" s="303"/>
      <c r="P512" s="304"/>
      <c r="S512" s="305"/>
      <c r="T512" s="305"/>
      <c r="U512" s="305"/>
      <c r="V512" s="305"/>
    </row>
    <row r="513" spans="2:22" s="292" customFormat="1">
      <c r="S513" s="305"/>
      <c r="T513" s="305"/>
      <c r="U513" s="305"/>
      <c r="V513" s="305"/>
    </row>
    <row r="514" spans="2:22" s="292" customFormat="1">
      <c r="S514" s="305"/>
      <c r="T514" s="305"/>
      <c r="U514" s="305"/>
      <c r="V514" s="305"/>
    </row>
    <row r="515" spans="2:22" s="292" customFormat="1">
      <c r="B515" s="303"/>
      <c r="P515" s="304"/>
      <c r="S515" s="305"/>
      <c r="T515" s="305"/>
      <c r="U515" s="305"/>
      <c r="V515" s="305"/>
    </row>
    <row r="516" spans="2:22" s="292" customFormat="1">
      <c r="S516" s="305"/>
      <c r="T516" s="305"/>
      <c r="U516" s="305"/>
      <c r="V516" s="305"/>
    </row>
    <row r="517" spans="2:22" s="292" customFormat="1">
      <c r="S517" s="305"/>
      <c r="T517" s="305"/>
      <c r="U517" s="305"/>
      <c r="V517" s="305"/>
    </row>
    <row r="518" spans="2:22" s="292" customFormat="1">
      <c r="B518" s="303"/>
      <c r="P518" s="304"/>
      <c r="S518" s="305"/>
      <c r="T518" s="305"/>
      <c r="U518" s="305"/>
      <c r="V518" s="305"/>
    </row>
    <row r="519" spans="2:22" s="292" customFormat="1">
      <c r="S519" s="305"/>
      <c r="T519" s="305"/>
      <c r="U519" s="305"/>
      <c r="V519" s="305"/>
    </row>
    <row r="520" spans="2:22" s="292" customFormat="1">
      <c r="S520" s="305"/>
      <c r="T520" s="305"/>
      <c r="U520" s="305"/>
      <c r="V520" s="305"/>
    </row>
    <row r="521" spans="2:22" s="292" customFormat="1">
      <c r="B521" s="303"/>
      <c r="P521" s="304"/>
      <c r="S521" s="305"/>
      <c r="T521" s="305"/>
      <c r="U521" s="305"/>
      <c r="V521" s="305"/>
    </row>
    <row r="522" spans="2:22" s="292" customFormat="1">
      <c r="S522" s="305"/>
      <c r="T522" s="305"/>
      <c r="U522" s="305"/>
      <c r="V522" s="305"/>
    </row>
    <row r="523" spans="2:22" s="292" customFormat="1">
      <c r="S523" s="305"/>
      <c r="T523" s="305"/>
      <c r="U523" s="305"/>
      <c r="V523" s="305"/>
    </row>
    <row r="524" spans="2:22" s="292" customFormat="1">
      <c r="B524" s="303"/>
      <c r="P524" s="304"/>
      <c r="S524" s="305"/>
      <c r="T524" s="305"/>
      <c r="U524" s="305"/>
      <c r="V524" s="305"/>
    </row>
    <row r="525" spans="2:22" s="292" customFormat="1">
      <c r="S525" s="305"/>
      <c r="T525" s="305"/>
      <c r="U525" s="305"/>
      <c r="V525" s="305"/>
    </row>
    <row r="526" spans="2:22" s="292" customFormat="1">
      <c r="S526" s="305"/>
      <c r="T526" s="305"/>
      <c r="U526" s="305"/>
      <c r="V526" s="305"/>
    </row>
    <row r="527" spans="2:22" s="292" customFormat="1">
      <c r="B527" s="303"/>
      <c r="P527" s="304"/>
      <c r="S527" s="305"/>
      <c r="T527" s="305"/>
      <c r="U527" s="305"/>
      <c r="V527" s="305"/>
    </row>
    <row r="528" spans="2:22" s="292" customFormat="1">
      <c r="S528" s="305"/>
      <c r="T528" s="305"/>
      <c r="U528" s="305"/>
      <c r="V528" s="305"/>
    </row>
    <row r="529" spans="2:22" s="292" customFormat="1">
      <c r="S529" s="305"/>
      <c r="T529" s="305"/>
      <c r="U529" s="305"/>
      <c r="V529" s="305"/>
    </row>
    <row r="530" spans="2:22" s="292" customFormat="1">
      <c r="B530" s="303"/>
      <c r="P530" s="304"/>
      <c r="S530" s="305"/>
      <c r="T530" s="305"/>
      <c r="U530" s="305"/>
      <c r="V530" s="305"/>
    </row>
    <row r="531" spans="2:22" s="292" customFormat="1">
      <c r="S531" s="305"/>
      <c r="T531" s="305"/>
      <c r="U531" s="305"/>
      <c r="V531" s="305"/>
    </row>
    <row r="532" spans="2:22" s="292" customFormat="1">
      <c r="S532" s="305"/>
      <c r="T532" s="305"/>
      <c r="U532" s="305"/>
      <c r="V532" s="305"/>
    </row>
    <row r="533" spans="2:22" s="292" customFormat="1">
      <c r="B533" s="303"/>
      <c r="P533" s="304"/>
      <c r="S533" s="305"/>
      <c r="T533" s="305"/>
      <c r="U533" s="305"/>
      <c r="V533" s="305"/>
    </row>
    <row r="534" spans="2:22" s="292" customFormat="1">
      <c r="S534" s="305"/>
      <c r="T534" s="305"/>
      <c r="U534" s="305"/>
      <c r="V534" s="305"/>
    </row>
    <row r="535" spans="2:22" s="292" customFormat="1">
      <c r="S535" s="305"/>
      <c r="T535" s="305"/>
      <c r="U535" s="305"/>
      <c r="V535" s="305"/>
    </row>
    <row r="536" spans="2:22" s="292" customFormat="1">
      <c r="B536" s="303"/>
      <c r="P536" s="304"/>
      <c r="S536" s="305"/>
      <c r="T536" s="305"/>
      <c r="U536" s="305"/>
      <c r="V536" s="305"/>
    </row>
    <row r="537" spans="2:22" s="292" customFormat="1">
      <c r="S537" s="305"/>
      <c r="T537" s="305"/>
      <c r="U537" s="305"/>
      <c r="V537" s="305"/>
    </row>
    <row r="538" spans="2:22" s="292" customFormat="1">
      <c r="S538" s="305"/>
      <c r="T538" s="305"/>
      <c r="U538" s="305"/>
      <c r="V538" s="305"/>
    </row>
    <row r="539" spans="2:22" s="292" customFormat="1">
      <c r="B539" s="303"/>
      <c r="P539" s="304"/>
      <c r="S539" s="305"/>
      <c r="T539" s="305"/>
      <c r="U539" s="305"/>
      <c r="V539" s="305"/>
    </row>
    <row r="540" spans="2:22" s="292" customFormat="1">
      <c r="S540" s="305"/>
      <c r="T540" s="305"/>
      <c r="U540" s="305"/>
      <c r="V540" s="305"/>
    </row>
    <row r="541" spans="2:22" s="292" customFormat="1">
      <c r="S541" s="305"/>
      <c r="T541" s="305"/>
      <c r="U541" s="305"/>
      <c r="V541" s="305"/>
    </row>
    <row r="542" spans="2:22" s="292" customFormat="1">
      <c r="B542" s="303"/>
      <c r="P542" s="304"/>
      <c r="S542" s="305"/>
      <c r="T542" s="305"/>
      <c r="U542" s="305"/>
      <c r="V542" s="305"/>
    </row>
    <row r="543" spans="2:22" s="292" customFormat="1">
      <c r="S543" s="305"/>
      <c r="T543" s="305"/>
      <c r="U543" s="305"/>
      <c r="V543" s="305"/>
    </row>
    <row r="544" spans="2:22" s="292" customFormat="1">
      <c r="S544" s="305"/>
      <c r="T544" s="305"/>
      <c r="U544" s="305"/>
      <c r="V544" s="305"/>
    </row>
    <row r="545" spans="2:22" s="292" customFormat="1">
      <c r="B545" s="303"/>
      <c r="P545" s="304"/>
      <c r="S545" s="305"/>
      <c r="T545" s="305"/>
      <c r="U545" s="305"/>
      <c r="V545" s="305"/>
    </row>
    <row r="546" spans="2:22" s="292" customFormat="1">
      <c r="S546" s="305"/>
      <c r="T546" s="305"/>
      <c r="U546" s="305"/>
      <c r="V546" s="305"/>
    </row>
    <row r="547" spans="2:22" s="292" customFormat="1">
      <c r="S547" s="305"/>
      <c r="T547" s="305"/>
      <c r="U547" s="305"/>
      <c r="V547" s="305"/>
    </row>
    <row r="548" spans="2:22" s="292" customFormat="1">
      <c r="B548" s="303"/>
      <c r="P548" s="304"/>
      <c r="S548" s="305"/>
      <c r="T548" s="305"/>
      <c r="U548" s="305"/>
      <c r="V548" s="305"/>
    </row>
    <row r="549" spans="2:22" s="292" customFormat="1">
      <c r="S549" s="305"/>
      <c r="T549" s="305"/>
      <c r="U549" s="305"/>
      <c r="V549" s="305"/>
    </row>
    <row r="550" spans="2:22" s="292" customFormat="1">
      <c r="S550" s="305"/>
      <c r="T550" s="305"/>
      <c r="U550" s="305"/>
      <c r="V550" s="305"/>
    </row>
    <row r="551" spans="2:22" s="292" customFormat="1">
      <c r="B551" s="303"/>
      <c r="P551" s="304"/>
      <c r="S551" s="305"/>
      <c r="T551" s="305"/>
      <c r="U551" s="305"/>
      <c r="V551" s="305"/>
    </row>
    <row r="552" spans="2:22" s="292" customFormat="1">
      <c r="S552" s="305"/>
      <c r="T552" s="305"/>
      <c r="U552" s="305"/>
      <c r="V552" s="305"/>
    </row>
    <row r="553" spans="2:22" s="292" customFormat="1">
      <c r="S553" s="305"/>
      <c r="T553" s="305"/>
      <c r="U553" s="305"/>
      <c r="V553" s="305"/>
    </row>
    <row r="554" spans="2:22" s="292" customFormat="1">
      <c r="B554" s="303"/>
      <c r="P554" s="304"/>
      <c r="S554" s="305"/>
      <c r="T554" s="305"/>
      <c r="U554" s="305"/>
      <c r="V554" s="305"/>
    </row>
    <row r="555" spans="2:22" s="292" customFormat="1">
      <c r="S555" s="305"/>
      <c r="T555" s="305"/>
      <c r="U555" s="305"/>
      <c r="V555" s="305"/>
    </row>
    <row r="556" spans="2:22" s="292" customFormat="1">
      <c r="S556" s="305"/>
      <c r="T556" s="305"/>
      <c r="U556" s="305"/>
      <c r="V556" s="305"/>
    </row>
    <row r="557" spans="2:22" s="292" customFormat="1">
      <c r="B557" s="303"/>
      <c r="P557" s="304"/>
      <c r="S557" s="305"/>
      <c r="T557" s="305"/>
      <c r="U557" s="305"/>
      <c r="V557" s="305"/>
    </row>
    <row r="558" spans="2:22" s="292" customFormat="1">
      <c r="S558" s="305"/>
      <c r="T558" s="305"/>
      <c r="U558" s="305"/>
      <c r="V558" s="305"/>
    </row>
    <row r="559" spans="2:22" s="292" customFormat="1">
      <c r="S559" s="305"/>
      <c r="T559" s="305"/>
      <c r="U559" s="305"/>
      <c r="V559" s="305"/>
    </row>
    <row r="560" spans="2:22" s="292" customFormat="1">
      <c r="B560" s="303"/>
      <c r="P560" s="304"/>
      <c r="S560" s="305"/>
      <c r="T560" s="305"/>
      <c r="U560" s="305"/>
      <c r="V560" s="305"/>
    </row>
    <row r="561" spans="2:22" s="292" customFormat="1">
      <c r="S561" s="305"/>
      <c r="T561" s="305"/>
      <c r="U561" s="305"/>
      <c r="V561" s="305"/>
    </row>
    <row r="562" spans="2:22" s="292" customFormat="1">
      <c r="S562" s="305"/>
      <c r="T562" s="305"/>
      <c r="U562" s="305"/>
      <c r="V562" s="305"/>
    </row>
    <row r="563" spans="2:22" s="292" customFormat="1">
      <c r="B563" s="303"/>
      <c r="P563" s="304"/>
      <c r="S563" s="305"/>
      <c r="T563" s="305"/>
      <c r="U563" s="305"/>
      <c r="V563" s="305"/>
    </row>
    <row r="564" spans="2:22" s="292" customFormat="1">
      <c r="S564" s="305"/>
      <c r="T564" s="305"/>
      <c r="U564" s="305"/>
      <c r="V564" s="305"/>
    </row>
    <row r="565" spans="2:22" s="292" customFormat="1">
      <c r="S565" s="305"/>
      <c r="T565" s="305"/>
      <c r="U565" s="305"/>
      <c r="V565" s="305"/>
    </row>
    <row r="566" spans="2:22" s="292" customFormat="1">
      <c r="B566" s="303"/>
      <c r="P566" s="304"/>
      <c r="S566" s="305"/>
      <c r="T566" s="305"/>
      <c r="U566" s="305"/>
      <c r="V566" s="305"/>
    </row>
    <row r="567" spans="2:22" s="292" customFormat="1">
      <c r="S567" s="305"/>
      <c r="T567" s="305"/>
      <c r="U567" s="305"/>
      <c r="V567" s="305"/>
    </row>
    <row r="568" spans="2:22" s="292" customFormat="1">
      <c r="S568" s="305"/>
      <c r="T568" s="305"/>
      <c r="U568" s="305"/>
      <c r="V568" s="305"/>
    </row>
    <row r="569" spans="2:22" s="292" customFormat="1">
      <c r="B569" s="303"/>
      <c r="P569" s="304"/>
      <c r="S569" s="305"/>
      <c r="T569" s="305"/>
      <c r="U569" s="305"/>
      <c r="V569" s="305"/>
    </row>
    <row r="570" spans="2:22" s="292" customFormat="1">
      <c r="S570" s="305"/>
      <c r="T570" s="305"/>
      <c r="U570" s="305"/>
      <c r="V570" s="305"/>
    </row>
    <row r="571" spans="2:22" s="292" customFormat="1">
      <c r="S571" s="305"/>
      <c r="T571" s="305"/>
      <c r="U571" s="305"/>
      <c r="V571" s="305"/>
    </row>
    <row r="572" spans="2:22" s="292" customFormat="1">
      <c r="B572" s="303"/>
      <c r="P572" s="304"/>
      <c r="S572" s="305"/>
      <c r="T572" s="305"/>
      <c r="U572" s="305"/>
      <c r="V572" s="305"/>
    </row>
    <row r="573" spans="2:22" s="292" customFormat="1">
      <c r="S573" s="305"/>
      <c r="T573" s="305"/>
      <c r="U573" s="305"/>
      <c r="V573" s="305"/>
    </row>
    <row r="574" spans="2:22" s="292" customFormat="1">
      <c r="S574" s="305"/>
      <c r="T574" s="305"/>
      <c r="U574" s="305"/>
      <c r="V574" s="305"/>
    </row>
    <row r="575" spans="2:22" s="292" customFormat="1">
      <c r="B575" s="303"/>
      <c r="P575" s="304"/>
      <c r="S575" s="305"/>
      <c r="T575" s="305"/>
      <c r="U575" s="305"/>
      <c r="V575" s="305"/>
    </row>
    <row r="576" spans="2:22" s="292" customFormat="1">
      <c r="S576" s="305"/>
      <c r="T576" s="305"/>
      <c r="U576" s="305"/>
      <c r="V576" s="305"/>
    </row>
    <row r="577" spans="2:22" s="292" customFormat="1">
      <c r="S577" s="305"/>
      <c r="T577" s="305"/>
      <c r="U577" s="305"/>
      <c r="V577" s="305"/>
    </row>
    <row r="578" spans="2:22" s="292" customFormat="1">
      <c r="B578" s="303"/>
      <c r="P578" s="304"/>
      <c r="S578" s="305"/>
      <c r="T578" s="305"/>
      <c r="U578" s="305"/>
      <c r="V578" s="305"/>
    </row>
    <row r="579" spans="2:22" s="292" customFormat="1">
      <c r="S579" s="305"/>
      <c r="T579" s="305"/>
      <c r="U579" s="305"/>
      <c r="V579" s="305"/>
    </row>
    <row r="580" spans="2:22" s="292" customFormat="1">
      <c r="S580" s="305"/>
      <c r="T580" s="305"/>
      <c r="U580" s="305"/>
      <c r="V580" s="305"/>
    </row>
    <row r="581" spans="2:22" s="292" customFormat="1">
      <c r="B581" s="303"/>
      <c r="P581" s="304"/>
      <c r="S581" s="305"/>
      <c r="T581" s="305"/>
      <c r="U581" s="305"/>
      <c r="V581" s="305"/>
    </row>
    <row r="582" spans="2:22" s="292" customFormat="1">
      <c r="S582" s="305"/>
      <c r="T582" s="305"/>
      <c r="U582" s="305"/>
      <c r="V582" s="305"/>
    </row>
    <row r="583" spans="2:22" s="292" customFormat="1">
      <c r="S583" s="305"/>
      <c r="T583" s="305"/>
      <c r="U583" s="305"/>
      <c r="V583" s="305"/>
    </row>
    <row r="584" spans="2:22" s="292" customFormat="1">
      <c r="B584" s="303"/>
      <c r="P584" s="304"/>
      <c r="S584" s="305"/>
      <c r="T584" s="305"/>
      <c r="U584" s="305"/>
      <c r="V584" s="305"/>
    </row>
    <row r="585" spans="2:22" s="292" customFormat="1">
      <c r="S585" s="305"/>
      <c r="T585" s="305"/>
      <c r="U585" s="305"/>
      <c r="V585" s="305"/>
    </row>
    <row r="586" spans="2:22" s="292" customFormat="1">
      <c r="S586" s="305"/>
      <c r="T586" s="305"/>
      <c r="U586" s="305"/>
      <c r="V586" s="305"/>
    </row>
    <row r="587" spans="2:22" s="292" customFormat="1">
      <c r="B587" s="303"/>
      <c r="P587" s="304"/>
      <c r="S587" s="305"/>
      <c r="T587" s="305"/>
      <c r="U587" s="305"/>
      <c r="V587" s="305"/>
    </row>
    <row r="588" spans="2:22" s="292" customFormat="1">
      <c r="S588" s="305"/>
      <c r="T588" s="305"/>
      <c r="U588" s="305"/>
      <c r="V588" s="305"/>
    </row>
    <row r="589" spans="2:22" s="292" customFormat="1">
      <c r="S589" s="305"/>
      <c r="T589" s="305"/>
      <c r="U589" s="305"/>
      <c r="V589" s="305"/>
    </row>
    <row r="590" spans="2:22" s="292" customFormat="1">
      <c r="B590" s="303"/>
      <c r="P590" s="304"/>
      <c r="S590" s="305"/>
      <c r="T590" s="305"/>
      <c r="U590" s="305"/>
      <c r="V590" s="305"/>
    </row>
    <row r="591" spans="2:22" s="292" customFormat="1">
      <c r="S591" s="305"/>
      <c r="T591" s="305"/>
      <c r="U591" s="305"/>
      <c r="V591" s="305"/>
    </row>
    <row r="592" spans="2:22" s="292" customFormat="1">
      <c r="S592" s="305"/>
      <c r="T592" s="305"/>
      <c r="U592" s="305"/>
      <c r="V592" s="305"/>
    </row>
    <row r="593" spans="2:22" s="292" customFormat="1">
      <c r="B593" s="303"/>
      <c r="P593" s="304"/>
      <c r="S593" s="305"/>
      <c r="T593" s="305"/>
      <c r="U593" s="305"/>
      <c r="V593" s="305"/>
    </row>
    <row r="594" spans="2:22" s="292" customFormat="1">
      <c r="S594" s="305"/>
      <c r="T594" s="305"/>
      <c r="U594" s="305"/>
      <c r="V594" s="305"/>
    </row>
    <row r="595" spans="2:22" s="292" customFormat="1">
      <c r="S595" s="305"/>
      <c r="T595" s="305"/>
      <c r="U595" s="305"/>
      <c r="V595" s="305"/>
    </row>
    <row r="596" spans="2:22" s="292" customFormat="1">
      <c r="B596" s="303"/>
      <c r="P596" s="304"/>
      <c r="S596" s="305"/>
      <c r="T596" s="305"/>
      <c r="U596" s="305"/>
      <c r="V596" s="305"/>
    </row>
    <row r="597" spans="2:22" s="292" customFormat="1">
      <c r="S597" s="305"/>
      <c r="T597" s="305"/>
      <c r="U597" s="305"/>
      <c r="V597" s="305"/>
    </row>
    <row r="598" spans="2:22" s="292" customFormat="1">
      <c r="S598" s="305"/>
      <c r="T598" s="305"/>
      <c r="U598" s="305"/>
      <c r="V598" s="305"/>
    </row>
    <row r="599" spans="2:22" s="292" customFormat="1">
      <c r="B599" s="303"/>
      <c r="P599" s="304"/>
      <c r="S599" s="305"/>
      <c r="T599" s="305"/>
      <c r="U599" s="305"/>
      <c r="V599" s="305"/>
    </row>
    <row r="600" spans="2:22" s="292" customFormat="1">
      <c r="S600" s="305"/>
      <c r="T600" s="305"/>
      <c r="U600" s="305"/>
      <c r="V600" s="305"/>
    </row>
    <row r="601" spans="2:22" s="292" customFormat="1">
      <c r="S601" s="305"/>
      <c r="T601" s="305"/>
      <c r="U601" s="305"/>
      <c r="V601" s="305"/>
    </row>
    <row r="602" spans="2:22" s="292" customFormat="1">
      <c r="B602" s="303"/>
      <c r="P602" s="304"/>
      <c r="S602" s="305"/>
      <c r="T602" s="305"/>
      <c r="U602" s="305"/>
      <c r="V602" s="305"/>
    </row>
    <row r="603" spans="2:22" s="292" customFormat="1">
      <c r="S603" s="305"/>
      <c r="T603" s="305"/>
      <c r="U603" s="305"/>
      <c r="V603" s="305"/>
    </row>
    <row r="604" spans="2:22" s="292" customFormat="1">
      <c r="S604" s="305"/>
      <c r="T604" s="305"/>
      <c r="U604" s="305"/>
      <c r="V604" s="305"/>
    </row>
    <row r="605" spans="2:22" s="292" customFormat="1">
      <c r="B605" s="303"/>
      <c r="P605" s="304"/>
      <c r="S605" s="305"/>
      <c r="T605" s="305"/>
      <c r="U605" s="305"/>
      <c r="V605" s="305"/>
    </row>
    <row r="606" spans="2:22" s="292" customFormat="1">
      <c r="S606" s="305"/>
      <c r="T606" s="305"/>
      <c r="U606" s="305"/>
      <c r="V606" s="305"/>
    </row>
    <row r="607" spans="2:22" s="292" customFormat="1">
      <c r="S607" s="305"/>
      <c r="T607" s="305"/>
      <c r="U607" s="305"/>
      <c r="V607" s="305"/>
    </row>
    <row r="608" spans="2:22" s="292" customFormat="1">
      <c r="B608" s="303"/>
      <c r="P608" s="304"/>
      <c r="S608" s="305"/>
      <c r="T608" s="305"/>
      <c r="U608" s="305"/>
      <c r="V608" s="305"/>
    </row>
    <row r="609" spans="2:22" s="292" customFormat="1">
      <c r="S609" s="305"/>
      <c r="T609" s="305"/>
      <c r="U609" s="305"/>
      <c r="V609" s="305"/>
    </row>
    <row r="610" spans="2:22" s="292" customFormat="1">
      <c r="S610" s="305"/>
      <c r="T610" s="305"/>
      <c r="U610" s="305"/>
      <c r="V610" s="305"/>
    </row>
    <row r="611" spans="2:22" s="292" customFormat="1">
      <c r="B611" s="303"/>
      <c r="P611" s="304"/>
      <c r="S611" s="305"/>
      <c r="T611" s="305"/>
      <c r="U611" s="305"/>
      <c r="V611" s="305"/>
    </row>
    <row r="612" spans="2:22" s="292" customFormat="1">
      <c r="S612" s="305"/>
      <c r="T612" s="305"/>
      <c r="U612" s="305"/>
      <c r="V612" s="305"/>
    </row>
    <row r="613" spans="2:22" s="292" customFormat="1">
      <c r="S613" s="305"/>
      <c r="T613" s="305"/>
      <c r="U613" s="305"/>
      <c r="V613" s="305"/>
    </row>
    <row r="614" spans="2:22" s="292" customFormat="1">
      <c r="B614" s="303"/>
      <c r="P614" s="304"/>
      <c r="S614" s="305"/>
      <c r="T614" s="305"/>
      <c r="U614" s="305"/>
      <c r="V614" s="305"/>
    </row>
    <row r="615" spans="2:22" s="292" customFormat="1">
      <c r="S615" s="305"/>
      <c r="T615" s="305"/>
      <c r="U615" s="305"/>
      <c r="V615" s="305"/>
    </row>
    <row r="616" spans="2:22" s="292" customFormat="1">
      <c r="S616" s="305"/>
      <c r="T616" s="305"/>
      <c r="U616" s="305"/>
      <c r="V616" s="305"/>
    </row>
    <row r="617" spans="2:22" s="292" customFormat="1">
      <c r="B617" s="303"/>
      <c r="P617" s="304"/>
      <c r="S617" s="305"/>
      <c r="T617" s="305"/>
      <c r="U617" s="305"/>
      <c r="V617" s="305"/>
    </row>
    <row r="618" spans="2:22" s="292" customFormat="1"/>
    <row r="619" spans="2:22" s="292" customFormat="1"/>
    <row r="620" spans="2:22" s="292" customFormat="1"/>
    <row r="621" spans="2:22" s="292" customFormat="1"/>
    <row r="622" spans="2:22" s="292" customFormat="1"/>
    <row r="623" spans="2:22" s="292" customFormat="1"/>
    <row r="624" spans="2:22" s="292" customFormat="1"/>
    <row r="625" s="292" customFormat="1"/>
    <row r="626" s="292" customFormat="1"/>
    <row r="627" s="292" customFormat="1"/>
    <row r="628" s="292" customFormat="1"/>
    <row r="629" s="292" customFormat="1"/>
    <row r="630" s="292" customFormat="1"/>
    <row r="631" s="292" customFormat="1"/>
    <row r="632" s="292" customFormat="1"/>
    <row r="633" s="292" customFormat="1"/>
    <row r="634" s="292" customFormat="1"/>
    <row r="635" s="292" customFormat="1"/>
    <row r="636" s="292" customFormat="1"/>
    <row r="637" s="292" customFormat="1"/>
    <row r="638" s="292" customFormat="1"/>
    <row r="639" s="292" customFormat="1"/>
    <row r="640" s="292" customFormat="1"/>
    <row r="641" s="292" customFormat="1"/>
    <row r="642" s="292" customFormat="1"/>
    <row r="643" s="292" customFormat="1"/>
    <row r="644" s="292" customFormat="1"/>
    <row r="645" s="292" customFormat="1"/>
    <row r="646" s="292" customFormat="1"/>
    <row r="647" s="292" customFormat="1"/>
    <row r="648" s="292" customFormat="1"/>
    <row r="649" s="292" customFormat="1"/>
    <row r="650" s="292" customFormat="1"/>
    <row r="651" s="292" customFormat="1"/>
    <row r="652" s="292" customFormat="1"/>
    <row r="653" s="292" customFormat="1"/>
    <row r="654" s="292" customFormat="1"/>
    <row r="655" s="292" customFormat="1"/>
    <row r="656" s="292" customFormat="1"/>
    <row r="657" s="292" customFormat="1"/>
    <row r="658" s="292" customFormat="1"/>
    <row r="659" s="292" customFormat="1"/>
    <row r="660" s="292" customFormat="1"/>
    <row r="661" s="292" customFormat="1"/>
    <row r="662" s="292" customFormat="1"/>
    <row r="663" s="292" customFormat="1"/>
    <row r="664" s="292" customFormat="1"/>
    <row r="665" s="292" customFormat="1"/>
    <row r="666" s="292" customFormat="1"/>
    <row r="667" s="292" customFormat="1"/>
    <row r="668" s="292" customFormat="1"/>
    <row r="669" s="292" customFormat="1"/>
    <row r="670" s="292" customFormat="1"/>
    <row r="671" s="292" customFormat="1"/>
    <row r="672" s="292" customFormat="1"/>
    <row r="673" s="292" customFormat="1"/>
    <row r="674" s="292" customFormat="1"/>
    <row r="675" s="292" customFormat="1"/>
    <row r="676" s="292" customFormat="1"/>
    <row r="677" s="292" customFormat="1"/>
    <row r="678" s="292" customFormat="1"/>
    <row r="679" s="292" customFormat="1"/>
    <row r="680" s="292" customFormat="1"/>
    <row r="681" s="292" customFormat="1"/>
    <row r="682" s="292" customFormat="1"/>
    <row r="683" s="292" customFormat="1"/>
    <row r="684" s="292" customFormat="1"/>
    <row r="685" s="292" customFormat="1"/>
    <row r="686" s="292" customFormat="1"/>
    <row r="687" s="292" customFormat="1"/>
    <row r="688" s="292" customFormat="1"/>
    <row r="689" s="292" customFormat="1"/>
    <row r="690" s="292" customFormat="1"/>
    <row r="691" s="292" customFormat="1"/>
    <row r="692" s="292" customFormat="1"/>
    <row r="693" s="292" customFormat="1"/>
    <row r="694" s="292" customFormat="1"/>
    <row r="695" s="292" customFormat="1"/>
    <row r="696" s="292" customFormat="1"/>
    <row r="697" s="292" customFormat="1"/>
    <row r="698" s="292" customFormat="1"/>
    <row r="699" s="292" customFormat="1"/>
    <row r="700" s="292" customFormat="1"/>
    <row r="701" s="292" customFormat="1"/>
    <row r="702" s="292" customFormat="1"/>
    <row r="703" s="292" customFormat="1"/>
    <row r="704" s="292" customFormat="1"/>
    <row r="705" s="292" customFormat="1"/>
    <row r="706" s="292" customFormat="1"/>
    <row r="707" s="292" customFormat="1"/>
    <row r="708" s="292" customFormat="1"/>
    <row r="709" s="292" customFormat="1"/>
    <row r="710" s="292" customFormat="1"/>
    <row r="711" s="292" customFormat="1"/>
    <row r="712" s="292" customFormat="1"/>
    <row r="713" s="292" customFormat="1"/>
    <row r="714" s="292" customFormat="1"/>
    <row r="715" s="292" customFormat="1"/>
    <row r="716" s="292" customFormat="1"/>
    <row r="717" s="292" customFormat="1"/>
    <row r="718" s="292" customFormat="1"/>
    <row r="719" s="292" customFormat="1"/>
    <row r="720" s="292" customFormat="1"/>
    <row r="721" s="292" customFormat="1"/>
    <row r="722" s="292" customFormat="1"/>
    <row r="723" s="292" customFormat="1"/>
    <row r="724" s="292" customFormat="1"/>
    <row r="725" s="292" customFormat="1"/>
    <row r="726" s="292" customFormat="1"/>
    <row r="727" s="292" customFormat="1"/>
    <row r="728" s="292" customFormat="1"/>
    <row r="729" s="292" customFormat="1"/>
    <row r="730" s="292" customFormat="1"/>
    <row r="731" s="292" customFormat="1"/>
    <row r="732" s="292" customFormat="1"/>
    <row r="733" s="292" customFormat="1"/>
    <row r="734" s="292" customFormat="1"/>
    <row r="735" s="292" customFormat="1"/>
    <row r="736" s="292" customFormat="1"/>
    <row r="737" s="292" customFormat="1"/>
    <row r="738" s="292" customFormat="1"/>
    <row r="739" s="292" customFormat="1"/>
    <row r="740" s="292" customFormat="1"/>
    <row r="741" s="292" customFormat="1"/>
    <row r="742" s="292" customFormat="1"/>
    <row r="743" s="292" customFormat="1"/>
    <row r="744" s="292" customFormat="1"/>
    <row r="745" s="292" customFormat="1"/>
    <row r="746" s="292" customFormat="1"/>
    <row r="747" s="292" customFormat="1"/>
    <row r="748" s="292" customFormat="1"/>
    <row r="749" s="292" customFormat="1"/>
    <row r="750" s="292" customFormat="1"/>
    <row r="751" s="292" customFormat="1"/>
    <row r="752" s="292" customFormat="1"/>
    <row r="753" s="292" customFormat="1"/>
    <row r="754" s="292" customFormat="1"/>
    <row r="755" s="292" customFormat="1"/>
    <row r="756" s="292" customFormat="1"/>
    <row r="757" s="292" customFormat="1"/>
    <row r="758" s="292" customFormat="1"/>
    <row r="759" s="292" customFormat="1"/>
    <row r="760" s="292" customFormat="1"/>
    <row r="761" s="292" customFormat="1"/>
    <row r="762" s="292" customFormat="1"/>
    <row r="763" s="292" customFormat="1"/>
    <row r="764" s="292" customFormat="1"/>
    <row r="765" s="292" customFormat="1"/>
    <row r="766" s="292" customFormat="1"/>
    <row r="767" s="292" customFormat="1"/>
    <row r="768" s="292" customFormat="1"/>
    <row r="769" s="292" customFormat="1"/>
    <row r="770" s="292" customFormat="1"/>
    <row r="771" s="292" customFormat="1"/>
    <row r="772" s="292" customFormat="1"/>
    <row r="773" s="292" customFormat="1"/>
    <row r="774" s="292" customFormat="1"/>
    <row r="775" s="292" customFormat="1"/>
    <row r="776" s="292" customFormat="1"/>
    <row r="777" s="292" customFormat="1"/>
    <row r="778" s="292" customFormat="1"/>
    <row r="779" s="292" customFormat="1"/>
    <row r="780" s="292" customFormat="1"/>
    <row r="781" s="292" customFormat="1"/>
    <row r="782" s="292" customFormat="1"/>
    <row r="783" s="292" customFormat="1"/>
    <row r="784" s="292" customFormat="1"/>
    <row r="785" s="292" customFormat="1"/>
    <row r="786" s="292" customFormat="1"/>
    <row r="787" s="292" customFormat="1"/>
    <row r="788" s="292" customFormat="1"/>
    <row r="789" s="292" customFormat="1"/>
    <row r="790" s="292" customFormat="1"/>
    <row r="791" s="292" customFormat="1"/>
    <row r="792" s="292" customFormat="1"/>
    <row r="793" s="292" customFormat="1"/>
    <row r="794" s="292" customFormat="1"/>
    <row r="795" s="292" customFormat="1"/>
    <row r="796" s="292" customFormat="1"/>
    <row r="797" s="292" customFormat="1"/>
    <row r="798" s="292" customFormat="1"/>
    <row r="799" s="292" customFormat="1"/>
    <row r="800" s="292" customFormat="1"/>
    <row r="801" s="292" customFormat="1"/>
    <row r="802" s="292" customFormat="1"/>
    <row r="803" s="292" customFormat="1"/>
    <row r="804" s="292" customFormat="1"/>
    <row r="805" s="292" customFormat="1"/>
    <row r="806" s="292" customFormat="1"/>
    <row r="807" s="292" customFormat="1"/>
    <row r="808" s="292" customFormat="1"/>
    <row r="809" s="292" customFormat="1"/>
    <row r="810" s="292" customFormat="1"/>
    <row r="811" s="292" customFormat="1"/>
    <row r="812" s="292" customFormat="1"/>
    <row r="813" s="292" customFormat="1"/>
    <row r="814" s="292" customFormat="1"/>
    <row r="815" s="292" customFormat="1"/>
    <row r="816" s="292" customFormat="1"/>
    <row r="817" s="292" customFormat="1"/>
    <row r="818" s="292" customFormat="1"/>
    <row r="819" s="292" customFormat="1"/>
    <row r="820" s="292" customFormat="1"/>
    <row r="821" s="292" customFormat="1"/>
    <row r="822" s="292" customFormat="1"/>
    <row r="823" s="292" customFormat="1"/>
    <row r="824" s="292" customFormat="1"/>
    <row r="825" s="292" customFormat="1"/>
    <row r="826" s="292" customFormat="1"/>
    <row r="827" s="292" customFormat="1"/>
    <row r="828" s="292" customFormat="1"/>
    <row r="829" s="292" customFormat="1"/>
    <row r="830" s="292" customFormat="1"/>
    <row r="831" s="292" customFormat="1"/>
    <row r="832" s="292" customFormat="1"/>
    <row r="833" s="292" customFormat="1"/>
    <row r="834" s="292" customFormat="1"/>
    <row r="835" s="292" customFormat="1"/>
    <row r="836" s="292" customFormat="1"/>
    <row r="837" s="292" customFormat="1"/>
    <row r="838" s="292" customFormat="1"/>
    <row r="839" s="292" customFormat="1"/>
    <row r="840" s="292" customFormat="1"/>
    <row r="841" s="292" customFormat="1"/>
    <row r="842" s="292" customFormat="1"/>
    <row r="843" s="292" customFormat="1"/>
    <row r="844" s="292" customFormat="1"/>
    <row r="845" s="292" customFormat="1"/>
    <row r="846" s="292" customFormat="1"/>
    <row r="847" s="292" customFormat="1"/>
    <row r="848" s="292" customFormat="1"/>
    <row r="849" s="292" customFormat="1"/>
    <row r="850" s="292" customFormat="1"/>
    <row r="851" s="292" customFormat="1"/>
    <row r="852" s="292" customFormat="1"/>
    <row r="853" s="292" customFormat="1"/>
    <row r="854" s="292" customFormat="1"/>
    <row r="855" s="292" customFormat="1"/>
    <row r="856" s="292" customFormat="1"/>
    <row r="857" s="292" customFormat="1"/>
    <row r="858" s="292" customFormat="1"/>
    <row r="859" s="292" customFormat="1"/>
    <row r="860" s="292" customFormat="1"/>
    <row r="861" s="292" customFormat="1"/>
    <row r="862" s="292" customFormat="1"/>
    <row r="863" s="292" customFormat="1"/>
    <row r="864" s="292" customFormat="1"/>
    <row r="865" s="292" customFormat="1"/>
    <row r="866" s="292" customFormat="1"/>
    <row r="867" s="292" customFormat="1"/>
    <row r="868" s="292" customFormat="1"/>
    <row r="869" s="292" customFormat="1"/>
    <row r="870" s="292" customFormat="1"/>
    <row r="871" s="292" customFormat="1"/>
    <row r="872" s="292" customFormat="1"/>
    <row r="873" s="292" customFormat="1"/>
    <row r="874" s="292" customFormat="1"/>
    <row r="875" s="292" customFormat="1"/>
    <row r="876" s="292" customFormat="1"/>
    <row r="877" s="292" customFormat="1"/>
    <row r="878" s="292" customFormat="1"/>
    <row r="879" s="292" customFormat="1"/>
    <row r="880" s="292" customFormat="1"/>
    <row r="881" s="292" customFormat="1"/>
    <row r="882" s="292"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13A0741127C749B1B6B3C26451E677" ma:contentTypeVersion="21" ma:contentTypeDescription="Create a new document." ma:contentTypeScope="" ma:versionID="e93859161547a59c7d68e446d21cd40b">
  <xsd:schema xmlns:xsd="http://www.w3.org/2001/XMLSchema" xmlns:xs="http://www.w3.org/2001/XMLSchema" xmlns:p="http://schemas.microsoft.com/office/2006/metadata/properties" xmlns:ns1="06d4df2a-6fa3-4a05-9d79-89dd6a384175" targetNamespace="http://schemas.microsoft.com/office/2006/metadata/properties" ma:root="true" ma:fieldsID="82f9e0695d43b18497d129a131e9bd39" ns1:_="">
    <xsd:import namespace="06d4df2a-6fa3-4a05-9d79-89dd6a384175"/>
    <xsd:element name="properties">
      <xsd:complexType>
        <xsd:sequence>
          <xsd:element name="documentManagement">
            <xsd:complexType>
              <xsd:all>
                <xsd:element ref="ns1:Agency" minOccurs="0"/>
                <xsd:element ref="ns1:Coordinator" minOccurs="0"/>
                <xsd:element ref="ns1:Notes0" minOccurs="0"/>
                <xsd:element ref="ns1:PreProcess_x0020_Block" minOccurs="0"/>
                <xsd:element ref="ns1:State" minOccurs="0"/>
                <xsd:element ref="ns1:Survey" minOccurs="0"/>
                <xsd:element ref="ns1:Status" minOccurs="0"/>
                <xsd:element ref="ns1:TimesValidated" minOccurs="0"/>
                <xsd:element ref="ns1:Year" minOccurs="0"/>
                <xsd:element ref="ns1:upload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4df2a-6fa3-4a05-9d79-89dd6a384175" elementFormDefault="qualified">
    <xsd:import namespace="http://schemas.microsoft.com/office/2006/documentManagement/types"/>
    <xsd:import namespace="http://schemas.microsoft.com/office/infopath/2007/PartnerControls"/>
    <xsd:element name="Agency" ma:index="0" nillable="true" ma:displayName="Agency" ma:internalName="Agency">
      <xsd:simpleType>
        <xsd:restriction base="dms:Text">
          <xsd:maxLength value="255"/>
        </xsd:restriction>
      </xsd:simpleType>
    </xsd:element>
    <xsd:element name="Coordinator" ma:index="1" nillable="true" ma:displayName="Coordinator" ma:list="UserInfo" ma:SearchPeopleOnly="false" ma:SharePointGroup="0" ma:internalName="Coordin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0" ma:index="2" nillable="true" ma:displayName="Notes" ma:internalName="Notes0">
      <xsd:simpleType>
        <xsd:restriction base="dms:Note">
          <xsd:maxLength value="255"/>
        </xsd:restriction>
      </xsd:simpleType>
    </xsd:element>
    <xsd:element name="PreProcess_x0020_Block" ma:index="3" nillable="true" ma:displayName="PreProcess Block" ma:decimals="0" ma:default="0" ma:internalName="PreProcess_x0020_Block">
      <xsd:simpleType>
        <xsd:restriction base="dms:Number"/>
      </xsd:simpleType>
    </xsd:element>
    <xsd:element name="State" ma:index="4" nillable="true" ma:displayName="State" ma:internalName="State">
      <xsd:simpleType>
        <xsd:restriction base="dms:Text">
          <xsd:maxLength value="255"/>
        </xsd:restriction>
      </xsd:simpleType>
    </xsd:element>
    <xsd:element name="Survey" ma:index="5" nillable="true" ma:displayName="Survey" ma:default="01Degrees" ma:format="RadioButtons" ma:internalName="Survey">
      <xsd:simpleType>
        <xsd:restriction base="dms:Choice">
          <xsd:enumeration value="01Degrees"/>
          <xsd:enumeration value="02Progression"/>
          <xsd:enumeration value="03TimeToDegree"/>
          <xsd:enumeration value="04SCH_FTE"/>
          <xsd:enumeration value="05InstructionTypes"/>
          <xsd:enumeration value="06Funding"/>
          <xsd:enumeration value="07TuitionAndFees"/>
          <xsd:enumeration value="08TuitionAndFeesPolicies"/>
          <xsd:enumeration value="09Salaries"/>
        </xsd:restriction>
      </xsd:simpleType>
    </xsd:element>
    <xsd:element name="Status" ma:index="6" nillable="true" ma:displayName="Survey Status" ma:default="Template" ma:format="Dropdown" ma:internalName="Status">
      <xsd:simpleType>
        <xsd:restriction base="dms:Choice">
          <xsd:enumeration value="Template"/>
          <xsd:enumeration value="Uploaded"/>
          <xsd:enumeration value="Validated"/>
          <xsd:enumeration value="Revalidated"/>
          <xsd:enumeration value="Being Reviewed"/>
          <xsd:enumeration value="Final"/>
          <xsd:enumeration value="Import Error"/>
          <xsd:enumeration value="Validation Error"/>
        </xsd:restriction>
      </xsd:simpleType>
    </xsd:element>
    <xsd:element name="TimesValidated" ma:index="19" nillable="true" ma:displayName="TimesValidated" ma:decimals="0" ma:default="0" ma:internalName="TimesValidated">
      <xsd:simpleType>
        <xsd:restriction base="dms:Number"/>
      </xsd:simpleType>
    </xsd:element>
    <xsd:element name="Year" ma:index="20" nillable="true" ma:displayName="Year" ma:decimals="0" ma:internalName="Year">
      <xsd:simpleType>
        <xsd:restriction base="dms:Number">
          <xsd:maxInclusive value="9999"/>
          <xsd:minInclusive value="2000"/>
        </xsd:restriction>
      </xsd:simpleType>
    </xsd:element>
    <xsd:element name="upload_id" ma:index="23" nillable="true" ma:displayName="upload_id" ma:decimals="0" ma:description="latest upload_id" ma:internalName="upload_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e xmlns="06d4df2a-6fa3-4a05-9d79-89dd6a384175">AL</State>
    <Year xmlns="06d4df2a-6fa3-4a05-9d79-89dd6a384175">2018</Year>
    <Survey xmlns="06d4df2a-6fa3-4a05-9d79-89dd6a384175">05InstructionTypes</Survey>
    <TimesValidated xmlns="06d4df2a-6fa3-4a05-9d79-89dd6a384175">3</TimesValidated>
    <Agency xmlns="06d4df2a-6fa3-4a05-9d79-89dd6a384175">ACHE</Agency>
    <Coordinator xmlns="06d4df2a-6fa3-4a05-9d79-89dd6a384175">
      <UserInfo>
        <DisplayName>Subrena Simpkins</DisplayName>
        <AccountId>17</AccountId>
        <AccountType/>
      </UserInfo>
    </Coordinator>
    <Status xmlns="06d4df2a-6fa3-4a05-9d79-89dd6a384175">Final</Status>
    <Notes0 xmlns="06d4df2a-6fa3-4a05-9d79-89dd6a384175" xsi:nil="true"/>
    <PreProcess_x0020_Block xmlns="06d4df2a-6fa3-4a05-9d79-89dd6a384175">0</PreProcess_x0020_Block>
    <upload_id xmlns="06d4df2a-6fa3-4a05-9d79-89dd6a3841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AA88C-85B1-4EA4-82BD-C86B09E1F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4df2a-6fa3-4a05-9d79-89dd6a384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6DB363-0BE4-4B2A-922A-835295257B00}">
  <ds:schemaRef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06d4df2a-6fa3-4a05-9d79-89dd6a384175"/>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0D5A9B0-2913-4BEC-BE71-C8C341A94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NEW...Tables 87-90</vt:lpstr>
      <vt:lpstr>OLD...Tables</vt:lpstr>
      <vt:lpstr>NEW...Tables 91-112</vt:lpstr>
      <vt:lpstr>OLD...Tabs</vt:lpstr>
      <vt:lpstr>Pivot Table for Data Exchange</vt:lpstr>
      <vt:lpstr>05InstructionTypes</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'05InstructionTypes'!Type13gr1_1</vt:lpstr>
      <vt:lpstr>'05InstructionTypes'!Type13gr2_1</vt:lpstr>
      <vt:lpstr>'05InstructionTypes'!Type13gr3_1</vt:lpstr>
      <vt:lpstr>'05InstructionTypes'!Type13gr4_1</vt:lpstr>
      <vt:lpstr>'05InstructionTypes'!Type13gr5_2</vt:lpstr>
      <vt:lpstr>'05InstructionTypes'!Type13ug1_1</vt:lpstr>
      <vt:lpstr>'05InstructionTypes'!Type13ug2_1</vt:lpstr>
      <vt:lpstr>'05InstructionTypes'!Type13ug3_1</vt:lpstr>
      <vt:lpstr>'05InstructionTypes'!Type13ug4_1</vt:lpstr>
      <vt:lpstr>'05InstructionTypes'!Type13ug5_1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Christiana Datubo-Brown</cp:lastModifiedBy>
  <cp:lastPrinted>2016-03-15T16:03:45Z</cp:lastPrinted>
  <dcterms:created xsi:type="dcterms:W3CDTF">2010-11-24T15:25:05Z</dcterms:created>
  <dcterms:modified xsi:type="dcterms:W3CDTF">2019-02-28T22:00:47Z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05InstructionTypes</vt:lpwstr>
  </property>
  <property fmtid="{D5CDD505-2E9C-101B-9397-08002B2CF9AE}" pid="3" name="Survey Status">
    <vt:lpwstr>Template</vt:lpwstr>
  </property>
  <property fmtid="{D5CDD505-2E9C-101B-9397-08002B2CF9AE}" pid="4" name="State">
    <vt:lpwstr>AL</vt:lpwstr>
  </property>
  <property fmtid="{D5CDD505-2E9C-101B-9397-08002B2CF9AE}" pid="5" name="Agency">
    <vt:lpwstr>ACHE</vt:lpwstr>
  </property>
  <property fmtid="{D5CDD505-2E9C-101B-9397-08002B2CF9AE}" pid="6" name="ContentTypeId">
    <vt:lpwstr>0x0101000F13A0741127C749B1B6B3C26451E677</vt:lpwstr>
  </property>
  <property fmtid="{D5CDD505-2E9C-101B-9397-08002B2CF9AE}" pid="7" name="WorkflowChangePath">
    <vt:lpwstr>133843d5-d372-4001-96eb-52efd1ea8343,2;133843d5-d372-4001-96eb-52efd1ea8343,2;133843d5-d372-4001-96eb-52efd1ea8343,2;eaa8b4b4-d670-43a5-acb7-15cc2bb80337,4;eaa8b4b4-d670-43a5-acb7-15cc2bb80337,4;133843d5-d372-4001-96eb-52efd1ea8343,5;133843d5-d372-4001-96</vt:lpwstr>
  </property>
</Properties>
</file>